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ORK\IMAA\IMAA 2023 Monthly Stats\Monthly Statistics - Construction and Engineering Ricky's Edit\"/>
    </mc:Choice>
  </mc:AlternateContent>
  <xr:revisionPtr revIDLastSave="0" documentId="13_ncr:1_{740BBDB9-64BC-4A16-B009-9E806D7DD4E6}" xr6:coauthVersionLast="47" xr6:coauthVersionMax="47" xr10:uidLastSave="{00000000-0000-0000-0000-000000000000}"/>
  <bookViews>
    <workbookView xWindow="-28155" yWindow="615" windowWidth="22950" windowHeight="12180" xr2:uid="{00000000-000D-0000-FFFF-FFFF00000000}"/>
  </bookViews>
  <sheets>
    <sheet name="Annually" sheetId="1" r:id="rId1"/>
    <sheet name="Monthl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1" i="2" l="1"/>
  <c r="J504" i="2"/>
  <c r="F515" i="2"/>
  <c r="E515" i="2"/>
  <c r="D515" i="2"/>
  <c r="C515" i="2"/>
  <c r="F514" i="2"/>
  <c r="E514" i="2"/>
  <c r="D514" i="2"/>
  <c r="C514" i="2"/>
  <c r="F513" i="2"/>
  <c r="E513" i="2"/>
  <c r="D513" i="2"/>
  <c r="C513" i="2"/>
  <c r="F512" i="2"/>
  <c r="E512" i="2"/>
  <c r="D512" i="2"/>
  <c r="C512" i="2"/>
  <c r="F511" i="2"/>
  <c r="E511" i="2"/>
  <c r="D511" i="2"/>
  <c r="C511" i="2"/>
  <c r="F510" i="2"/>
  <c r="E510" i="2"/>
  <c r="D510" i="2"/>
  <c r="C510" i="2"/>
  <c r="F509" i="2"/>
  <c r="E509" i="2"/>
  <c r="D509" i="2"/>
  <c r="C509" i="2"/>
  <c r="F508" i="2"/>
  <c r="E508" i="2"/>
  <c r="D508" i="2"/>
  <c r="C508" i="2"/>
  <c r="F507" i="2"/>
  <c r="E507" i="2"/>
  <c r="D507" i="2"/>
  <c r="C507" i="2"/>
  <c r="F506" i="2"/>
  <c r="E506" i="2"/>
  <c r="D506" i="2"/>
  <c r="C506" i="2"/>
  <c r="F505" i="2"/>
  <c r="E505" i="2"/>
  <c r="D505" i="2"/>
  <c r="C505" i="2"/>
  <c r="C57" i="1" s="1"/>
  <c r="F504" i="2"/>
  <c r="E504" i="2"/>
  <c r="D504" i="2"/>
  <c r="C504" i="2"/>
  <c r="F502" i="2"/>
  <c r="E502" i="2"/>
  <c r="D502" i="2"/>
  <c r="C502" i="2"/>
  <c r="F501" i="2"/>
  <c r="E501" i="2"/>
  <c r="D501" i="2"/>
  <c r="C501" i="2"/>
  <c r="F500" i="2"/>
  <c r="E500" i="2"/>
  <c r="D500" i="2"/>
  <c r="C500" i="2"/>
  <c r="F499" i="2"/>
  <c r="E499" i="2"/>
  <c r="D499" i="2"/>
  <c r="C499" i="2"/>
  <c r="F498" i="2"/>
  <c r="E498" i="2"/>
  <c r="D498" i="2"/>
  <c r="C498" i="2"/>
  <c r="F497" i="2"/>
  <c r="E497" i="2"/>
  <c r="D497" i="2"/>
  <c r="C497" i="2"/>
  <c r="F496" i="2"/>
  <c r="E496" i="2"/>
  <c r="D496" i="2"/>
  <c r="C496" i="2"/>
  <c r="F495" i="2"/>
  <c r="E495" i="2"/>
  <c r="D495" i="2"/>
  <c r="C495" i="2"/>
  <c r="F494" i="2"/>
  <c r="E494" i="2"/>
  <c r="D494" i="2"/>
  <c r="C494" i="2"/>
  <c r="F493" i="2"/>
  <c r="E493" i="2"/>
  <c r="D493" i="2"/>
  <c r="C493" i="2"/>
  <c r="F492" i="2"/>
  <c r="E492" i="2"/>
  <c r="D492" i="2"/>
  <c r="C492" i="2"/>
  <c r="C12" i="1" s="1"/>
  <c r="F491" i="2"/>
  <c r="E491" i="2"/>
  <c r="D491" i="2"/>
  <c r="C491" i="2"/>
  <c r="F489" i="2"/>
  <c r="E489" i="2"/>
  <c r="D489" i="2"/>
  <c r="C489" i="2"/>
  <c r="F488" i="2"/>
  <c r="E488" i="2"/>
  <c r="D488" i="2"/>
  <c r="C488" i="2"/>
  <c r="F487" i="2"/>
  <c r="E487" i="2"/>
  <c r="D487" i="2"/>
  <c r="C487" i="2"/>
  <c r="F486" i="2"/>
  <c r="E486" i="2"/>
  <c r="D486" i="2"/>
  <c r="C486" i="2"/>
  <c r="F485" i="2"/>
  <c r="E485" i="2"/>
  <c r="D485" i="2"/>
  <c r="C485" i="2"/>
  <c r="F484" i="2"/>
  <c r="E484" i="2"/>
  <c r="D484" i="2"/>
  <c r="C484" i="2"/>
  <c r="F483" i="2"/>
  <c r="E483" i="2"/>
  <c r="D483" i="2"/>
  <c r="C483" i="2"/>
  <c r="F482" i="2"/>
  <c r="E482" i="2"/>
  <c r="D482" i="2"/>
  <c r="C482" i="2"/>
  <c r="F481" i="2"/>
  <c r="E481" i="2"/>
  <c r="D481" i="2"/>
  <c r="C481" i="2"/>
  <c r="F480" i="2"/>
  <c r="E480" i="2"/>
  <c r="D480" i="2"/>
  <c r="C480" i="2"/>
  <c r="F479" i="2"/>
  <c r="E479" i="2"/>
  <c r="D479" i="2"/>
  <c r="C479" i="2"/>
  <c r="F478" i="2"/>
  <c r="E478" i="2"/>
  <c r="D478" i="2"/>
  <c r="C478" i="2"/>
  <c r="F476" i="2"/>
  <c r="E476" i="2"/>
  <c r="D476" i="2"/>
  <c r="C476" i="2"/>
  <c r="F475" i="2"/>
  <c r="E475" i="2"/>
  <c r="D475" i="2"/>
  <c r="C475" i="2"/>
  <c r="F474" i="2"/>
  <c r="E474" i="2"/>
  <c r="D474" i="2"/>
  <c r="C474" i="2"/>
  <c r="F473" i="2"/>
  <c r="E473" i="2"/>
  <c r="D473" i="2"/>
  <c r="C473" i="2"/>
  <c r="F472" i="2"/>
  <c r="E472" i="2"/>
  <c r="D472" i="2"/>
  <c r="C472" i="2"/>
  <c r="F471" i="2"/>
  <c r="E471" i="2"/>
  <c r="D471" i="2"/>
  <c r="C471" i="2"/>
  <c r="F470" i="2"/>
  <c r="E470" i="2"/>
  <c r="D470" i="2"/>
  <c r="C470" i="2"/>
  <c r="F469" i="2"/>
  <c r="E469" i="2"/>
  <c r="D469" i="2"/>
  <c r="C469" i="2"/>
  <c r="F468" i="2"/>
  <c r="E468" i="2"/>
  <c r="D468" i="2"/>
  <c r="C468" i="2"/>
  <c r="F467" i="2"/>
  <c r="E467" i="2"/>
  <c r="D467" i="2"/>
  <c r="C467" i="2"/>
  <c r="F466" i="2"/>
  <c r="E466" i="2"/>
  <c r="D466" i="2"/>
  <c r="C466" i="2"/>
  <c r="F465" i="2"/>
  <c r="E465" i="2"/>
  <c r="D465" i="2"/>
  <c r="C465" i="2"/>
  <c r="F463" i="2"/>
  <c r="E463" i="2"/>
  <c r="D463" i="2"/>
  <c r="C463" i="2"/>
  <c r="F462" i="2"/>
  <c r="E462" i="2"/>
  <c r="D462" i="2"/>
  <c r="C462" i="2"/>
  <c r="F461" i="2"/>
  <c r="E461" i="2"/>
  <c r="D461" i="2"/>
  <c r="C461" i="2"/>
  <c r="F460" i="2"/>
  <c r="E460" i="2"/>
  <c r="D460" i="2"/>
  <c r="C460" i="2"/>
  <c r="F459" i="2"/>
  <c r="E459" i="2"/>
  <c r="D459" i="2"/>
  <c r="C459" i="2"/>
  <c r="F458" i="2"/>
  <c r="E458" i="2"/>
  <c r="D458" i="2"/>
  <c r="C458" i="2"/>
  <c r="F457" i="2"/>
  <c r="E457" i="2"/>
  <c r="D457" i="2"/>
  <c r="C457" i="2"/>
  <c r="F456" i="2"/>
  <c r="E456" i="2"/>
  <c r="D456" i="2"/>
  <c r="C456" i="2"/>
  <c r="F455" i="2"/>
  <c r="E455" i="2"/>
  <c r="D455" i="2"/>
  <c r="C455" i="2"/>
  <c r="F454" i="2"/>
  <c r="E454" i="2"/>
  <c r="D454" i="2"/>
  <c r="C454" i="2"/>
  <c r="F453" i="2"/>
  <c r="E453" i="2"/>
  <c r="D453" i="2"/>
  <c r="C453" i="2"/>
  <c r="C53" i="1" s="1"/>
  <c r="F452" i="2"/>
  <c r="E452" i="2"/>
  <c r="D452" i="2"/>
  <c r="C452" i="2"/>
  <c r="F450" i="2"/>
  <c r="E450" i="2"/>
  <c r="D450" i="2"/>
  <c r="C450" i="2"/>
  <c r="F449" i="2"/>
  <c r="E449" i="2"/>
  <c r="D449" i="2"/>
  <c r="C449" i="2"/>
  <c r="F448" i="2"/>
  <c r="E448" i="2"/>
  <c r="D448" i="2"/>
  <c r="C448" i="2"/>
  <c r="F447" i="2"/>
  <c r="E447" i="2"/>
  <c r="D447" i="2"/>
  <c r="C447" i="2"/>
  <c r="F446" i="2"/>
  <c r="E446" i="2"/>
  <c r="D446" i="2"/>
  <c r="C446" i="2"/>
  <c r="F445" i="2"/>
  <c r="E445" i="2"/>
  <c r="D445" i="2"/>
  <c r="C445" i="2"/>
  <c r="F444" i="2"/>
  <c r="E444" i="2"/>
  <c r="D444" i="2"/>
  <c r="C444" i="2"/>
  <c r="F443" i="2"/>
  <c r="E443" i="2"/>
  <c r="D443" i="2"/>
  <c r="C443" i="2"/>
  <c r="F442" i="2"/>
  <c r="E442" i="2"/>
  <c r="D442" i="2"/>
  <c r="C442" i="2"/>
  <c r="F441" i="2"/>
  <c r="E441" i="2"/>
  <c r="D441" i="2"/>
  <c r="C441" i="2"/>
  <c r="F440" i="2"/>
  <c r="E440" i="2"/>
  <c r="D440" i="2"/>
  <c r="C440" i="2"/>
  <c r="C52" i="1" s="1"/>
  <c r="F439" i="2"/>
  <c r="E439" i="2"/>
  <c r="D439" i="2"/>
  <c r="C439" i="2"/>
  <c r="F437" i="2"/>
  <c r="E437" i="2"/>
  <c r="D437" i="2"/>
  <c r="C437" i="2"/>
  <c r="F436" i="2"/>
  <c r="E436" i="2"/>
  <c r="D436" i="2"/>
  <c r="C436" i="2"/>
  <c r="F435" i="2"/>
  <c r="E435" i="2"/>
  <c r="D435" i="2"/>
  <c r="C435" i="2"/>
  <c r="F434" i="2"/>
  <c r="E434" i="2"/>
  <c r="D434" i="2"/>
  <c r="C434" i="2"/>
  <c r="F433" i="2"/>
  <c r="E433" i="2"/>
  <c r="D433" i="2"/>
  <c r="C433" i="2"/>
  <c r="F432" i="2"/>
  <c r="E432" i="2"/>
  <c r="D432" i="2"/>
  <c r="C432" i="2"/>
  <c r="F431" i="2"/>
  <c r="E431" i="2"/>
  <c r="D431" i="2"/>
  <c r="C431" i="2"/>
  <c r="F430" i="2"/>
  <c r="E430" i="2"/>
  <c r="D430" i="2"/>
  <c r="C430" i="2"/>
  <c r="F429" i="2"/>
  <c r="E429" i="2"/>
  <c r="D429" i="2"/>
  <c r="C429" i="2"/>
  <c r="F428" i="2"/>
  <c r="E428" i="2"/>
  <c r="D428" i="2"/>
  <c r="C428" i="2"/>
  <c r="F427" i="2"/>
  <c r="E427" i="2"/>
  <c r="D427" i="2"/>
  <c r="C427" i="2"/>
  <c r="C51" i="1" s="1"/>
  <c r="F426" i="2"/>
  <c r="E426" i="2"/>
  <c r="D426" i="2"/>
  <c r="C426" i="2"/>
  <c r="F424" i="2"/>
  <c r="E424" i="2"/>
  <c r="D424" i="2"/>
  <c r="C424" i="2"/>
  <c r="F423" i="2"/>
  <c r="E423" i="2"/>
  <c r="D423" i="2"/>
  <c r="C423" i="2"/>
  <c r="F422" i="2"/>
  <c r="E422" i="2"/>
  <c r="D422" i="2"/>
  <c r="C422" i="2"/>
  <c r="F421" i="2"/>
  <c r="E421" i="2"/>
  <c r="D421" i="2"/>
  <c r="C421" i="2"/>
  <c r="F420" i="2"/>
  <c r="E420" i="2"/>
  <c r="D420" i="2"/>
  <c r="C420" i="2"/>
  <c r="F419" i="2"/>
  <c r="E419" i="2"/>
  <c r="D419" i="2"/>
  <c r="C419" i="2"/>
  <c r="F418" i="2"/>
  <c r="E418" i="2"/>
  <c r="D418" i="2"/>
  <c r="C418" i="2"/>
  <c r="F417" i="2"/>
  <c r="E417" i="2"/>
  <c r="D417" i="2"/>
  <c r="C417" i="2"/>
  <c r="F416" i="2"/>
  <c r="E416" i="2"/>
  <c r="D416" i="2"/>
  <c r="C416" i="2"/>
  <c r="F415" i="2"/>
  <c r="E415" i="2"/>
  <c r="D415" i="2"/>
  <c r="C415" i="2"/>
  <c r="F414" i="2"/>
  <c r="E414" i="2"/>
  <c r="D414" i="2"/>
  <c r="C414" i="2"/>
  <c r="F413" i="2"/>
  <c r="E413" i="2"/>
  <c r="D413" i="2"/>
  <c r="C413" i="2"/>
  <c r="F411" i="2"/>
  <c r="E411" i="2"/>
  <c r="D411" i="2"/>
  <c r="C411" i="2"/>
  <c r="F410" i="2"/>
  <c r="E410" i="2"/>
  <c r="D410" i="2"/>
  <c r="C410" i="2"/>
  <c r="F409" i="2"/>
  <c r="E409" i="2"/>
  <c r="D409" i="2"/>
  <c r="C409" i="2"/>
  <c r="F408" i="2"/>
  <c r="E408" i="2"/>
  <c r="D408" i="2"/>
  <c r="C408" i="2"/>
  <c r="F407" i="2"/>
  <c r="E407" i="2"/>
  <c r="D407" i="2"/>
  <c r="C407" i="2"/>
  <c r="F406" i="2"/>
  <c r="E406" i="2"/>
  <c r="D406" i="2"/>
  <c r="C406" i="2"/>
  <c r="F405" i="2"/>
  <c r="E405" i="2"/>
  <c r="D405" i="2"/>
  <c r="C405" i="2"/>
  <c r="F404" i="2"/>
  <c r="E404" i="2"/>
  <c r="D404" i="2"/>
  <c r="C404" i="2"/>
  <c r="F403" i="2"/>
  <c r="E403" i="2"/>
  <c r="D403" i="2"/>
  <c r="C403" i="2"/>
  <c r="F402" i="2"/>
  <c r="E402" i="2"/>
  <c r="D402" i="2"/>
  <c r="C402" i="2"/>
  <c r="F401" i="2"/>
  <c r="E401" i="2"/>
  <c r="D401" i="2"/>
  <c r="C401" i="2"/>
  <c r="F400" i="2"/>
  <c r="E400" i="2"/>
  <c r="D400" i="2"/>
  <c r="C400" i="2"/>
  <c r="F398" i="2"/>
  <c r="E398" i="2"/>
  <c r="D398" i="2"/>
  <c r="C398" i="2"/>
  <c r="F397" i="2"/>
  <c r="E397" i="2"/>
  <c r="D397" i="2"/>
  <c r="C397" i="2"/>
  <c r="F396" i="2"/>
  <c r="E396" i="2"/>
  <c r="D396" i="2"/>
  <c r="C396" i="2"/>
  <c r="F395" i="2"/>
  <c r="E395" i="2"/>
  <c r="D395" i="2"/>
  <c r="C395" i="2"/>
  <c r="F394" i="2"/>
  <c r="E394" i="2"/>
  <c r="D394" i="2"/>
  <c r="C394" i="2"/>
  <c r="F393" i="2"/>
  <c r="E393" i="2"/>
  <c r="D393" i="2"/>
  <c r="C393" i="2"/>
  <c r="F392" i="2"/>
  <c r="E392" i="2"/>
  <c r="D392" i="2"/>
  <c r="C392" i="2"/>
  <c r="F391" i="2"/>
  <c r="E391" i="2"/>
  <c r="D391" i="2"/>
  <c r="C391" i="2"/>
  <c r="F390" i="2"/>
  <c r="E390" i="2"/>
  <c r="D390" i="2"/>
  <c r="C390" i="2"/>
  <c r="F389" i="2"/>
  <c r="E389" i="2"/>
  <c r="D389" i="2"/>
  <c r="C389" i="2"/>
  <c r="F388" i="2"/>
  <c r="E388" i="2"/>
  <c r="D388" i="2"/>
  <c r="C388" i="2"/>
  <c r="C48" i="1" s="1"/>
  <c r="F387" i="2"/>
  <c r="E387" i="2"/>
  <c r="D387" i="2"/>
  <c r="C387" i="2"/>
  <c r="F385" i="2"/>
  <c r="E385" i="2"/>
  <c r="D385" i="2"/>
  <c r="C385" i="2"/>
  <c r="F384" i="2"/>
  <c r="E384" i="2"/>
  <c r="D384" i="2"/>
  <c r="C384" i="2"/>
  <c r="F383" i="2"/>
  <c r="E383" i="2"/>
  <c r="D383" i="2"/>
  <c r="C383" i="2"/>
  <c r="F382" i="2"/>
  <c r="E382" i="2"/>
  <c r="D382" i="2"/>
  <c r="C382" i="2"/>
  <c r="F381" i="2"/>
  <c r="E381" i="2"/>
  <c r="D381" i="2"/>
  <c r="C381" i="2"/>
  <c r="F380" i="2"/>
  <c r="E380" i="2"/>
  <c r="D380" i="2"/>
  <c r="C380" i="2"/>
  <c r="F379" i="2"/>
  <c r="E379" i="2"/>
  <c r="D379" i="2"/>
  <c r="C379" i="2"/>
  <c r="F378" i="2"/>
  <c r="E378" i="2"/>
  <c r="D378" i="2"/>
  <c r="C378" i="2"/>
  <c r="F377" i="2"/>
  <c r="E377" i="2"/>
  <c r="D377" i="2"/>
  <c r="C377" i="2"/>
  <c r="F376" i="2"/>
  <c r="E376" i="2"/>
  <c r="D376" i="2"/>
  <c r="C376" i="2"/>
  <c r="F375" i="2"/>
  <c r="E375" i="2"/>
  <c r="D375" i="2"/>
  <c r="C375" i="2"/>
  <c r="C47" i="1" s="1"/>
  <c r="F374" i="2"/>
  <c r="E374" i="2"/>
  <c r="D374" i="2"/>
  <c r="C374" i="2"/>
  <c r="F372" i="2"/>
  <c r="E372" i="2"/>
  <c r="D372" i="2"/>
  <c r="C372" i="2"/>
  <c r="F371" i="2"/>
  <c r="E371" i="2"/>
  <c r="D371" i="2"/>
  <c r="C371" i="2"/>
  <c r="F370" i="2"/>
  <c r="E370" i="2"/>
  <c r="D370" i="2"/>
  <c r="C370" i="2"/>
  <c r="F369" i="2"/>
  <c r="E369" i="2"/>
  <c r="D369" i="2"/>
  <c r="C369" i="2"/>
  <c r="F368" i="2"/>
  <c r="E368" i="2"/>
  <c r="D368" i="2"/>
  <c r="C368" i="2"/>
  <c r="F367" i="2"/>
  <c r="E367" i="2"/>
  <c r="D367" i="2"/>
  <c r="C367" i="2"/>
  <c r="F366" i="2"/>
  <c r="E366" i="2"/>
  <c r="D366" i="2"/>
  <c r="C366" i="2"/>
  <c r="F365" i="2"/>
  <c r="E365" i="2"/>
  <c r="D365" i="2"/>
  <c r="C365" i="2"/>
  <c r="F364" i="2"/>
  <c r="E364" i="2"/>
  <c r="D364" i="2"/>
  <c r="C364" i="2"/>
  <c r="F363" i="2"/>
  <c r="E363" i="2"/>
  <c r="D363" i="2"/>
  <c r="C363" i="2"/>
  <c r="F362" i="2"/>
  <c r="E362" i="2"/>
  <c r="D362" i="2"/>
  <c r="C362" i="2"/>
  <c r="F361" i="2"/>
  <c r="E361" i="2"/>
  <c r="D361" i="2"/>
  <c r="C361" i="2"/>
  <c r="F359" i="2"/>
  <c r="E359" i="2"/>
  <c r="D359" i="2"/>
  <c r="C359" i="2"/>
  <c r="F358" i="2"/>
  <c r="E358" i="2"/>
  <c r="D358" i="2"/>
  <c r="C358" i="2"/>
  <c r="F357" i="2"/>
  <c r="E357" i="2"/>
  <c r="D357" i="2"/>
  <c r="C357" i="2"/>
  <c r="F356" i="2"/>
  <c r="E356" i="2"/>
  <c r="D356" i="2"/>
  <c r="C356" i="2"/>
  <c r="F355" i="2"/>
  <c r="E355" i="2"/>
  <c r="D355" i="2"/>
  <c r="C355" i="2"/>
  <c r="F354" i="2"/>
  <c r="E354" i="2"/>
  <c r="D354" i="2"/>
  <c r="C354" i="2"/>
  <c r="F353" i="2"/>
  <c r="E353" i="2"/>
  <c r="D353" i="2"/>
  <c r="C353" i="2"/>
  <c r="F352" i="2"/>
  <c r="E352" i="2"/>
  <c r="D352" i="2"/>
  <c r="C352" i="2"/>
  <c r="F351" i="2"/>
  <c r="E351" i="2"/>
  <c r="D351" i="2"/>
  <c r="C351" i="2"/>
  <c r="F350" i="2"/>
  <c r="E350" i="2"/>
  <c r="D350" i="2"/>
  <c r="C350" i="2"/>
  <c r="F349" i="2"/>
  <c r="E349" i="2"/>
  <c r="D349" i="2"/>
  <c r="C349" i="2"/>
  <c r="C45" i="1" s="1"/>
  <c r="F348" i="2"/>
  <c r="E348" i="2"/>
  <c r="D348" i="2"/>
  <c r="C348" i="2"/>
  <c r="F346" i="2"/>
  <c r="E346" i="2"/>
  <c r="D346" i="2"/>
  <c r="C346" i="2"/>
  <c r="F345" i="2"/>
  <c r="E345" i="2"/>
  <c r="D345" i="2"/>
  <c r="C345" i="2"/>
  <c r="F344" i="2"/>
  <c r="E344" i="2"/>
  <c r="D344" i="2"/>
  <c r="C344" i="2"/>
  <c r="F343" i="2"/>
  <c r="E343" i="2"/>
  <c r="D343" i="2"/>
  <c r="C343" i="2"/>
  <c r="F342" i="2"/>
  <c r="E342" i="2"/>
  <c r="D342" i="2"/>
  <c r="C342" i="2"/>
  <c r="F341" i="2"/>
  <c r="E341" i="2"/>
  <c r="D341" i="2"/>
  <c r="C341" i="2"/>
  <c r="F340" i="2"/>
  <c r="E340" i="2"/>
  <c r="D340" i="2"/>
  <c r="C340" i="2"/>
  <c r="F339" i="2"/>
  <c r="E339" i="2"/>
  <c r="D339" i="2"/>
  <c r="C339" i="2"/>
  <c r="F338" i="2"/>
  <c r="E338" i="2"/>
  <c r="D338" i="2"/>
  <c r="C338" i="2"/>
  <c r="F337" i="2"/>
  <c r="E337" i="2"/>
  <c r="D337" i="2"/>
  <c r="C337" i="2"/>
  <c r="F336" i="2"/>
  <c r="E336" i="2"/>
  <c r="D336" i="2"/>
  <c r="C336" i="2"/>
  <c r="F335" i="2"/>
  <c r="E335" i="2"/>
  <c r="D335" i="2"/>
  <c r="C335" i="2"/>
  <c r="F333" i="2"/>
  <c r="E333" i="2"/>
  <c r="D333" i="2"/>
  <c r="C333" i="2"/>
  <c r="F332" i="2"/>
  <c r="E332" i="2"/>
  <c r="D332" i="2"/>
  <c r="C332" i="2"/>
  <c r="F331" i="2"/>
  <c r="E331" i="2"/>
  <c r="D331" i="2"/>
  <c r="C331" i="2"/>
  <c r="F330" i="2"/>
  <c r="E330" i="2"/>
  <c r="D330" i="2"/>
  <c r="C330" i="2"/>
  <c r="F329" i="2"/>
  <c r="E329" i="2"/>
  <c r="D329" i="2"/>
  <c r="C329" i="2"/>
  <c r="F328" i="2"/>
  <c r="E328" i="2"/>
  <c r="D328" i="2"/>
  <c r="C328" i="2"/>
  <c r="F327" i="2"/>
  <c r="E327" i="2"/>
  <c r="D327" i="2"/>
  <c r="C327" i="2"/>
  <c r="F326" i="2"/>
  <c r="E326" i="2"/>
  <c r="D326" i="2"/>
  <c r="C326" i="2"/>
  <c r="F325" i="2"/>
  <c r="E325" i="2"/>
  <c r="D325" i="2"/>
  <c r="C325" i="2"/>
  <c r="F324" i="2"/>
  <c r="E324" i="2"/>
  <c r="D324" i="2"/>
  <c r="C324" i="2"/>
  <c r="F323" i="2"/>
  <c r="E323" i="2"/>
  <c r="D323" i="2"/>
  <c r="C323" i="2"/>
  <c r="F322" i="2"/>
  <c r="E322" i="2"/>
  <c r="D322" i="2"/>
  <c r="C322" i="2"/>
  <c r="F320" i="2"/>
  <c r="E320" i="2"/>
  <c r="D320" i="2"/>
  <c r="C320" i="2"/>
  <c r="F319" i="2"/>
  <c r="E319" i="2"/>
  <c r="D319" i="2"/>
  <c r="C319" i="2"/>
  <c r="F318" i="2"/>
  <c r="E318" i="2"/>
  <c r="D318" i="2"/>
  <c r="C318" i="2"/>
  <c r="F317" i="2"/>
  <c r="E317" i="2"/>
  <c r="D317" i="2"/>
  <c r="C317" i="2"/>
  <c r="F316" i="2"/>
  <c r="E316" i="2"/>
  <c r="D316" i="2"/>
  <c r="C316" i="2"/>
  <c r="F315" i="2"/>
  <c r="E315" i="2"/>
  <c r="D315" i="2"/>
  <c r="C315" i="2"/>
  <c r="F314" i="2"/>
  <c r="E314" i="2"/>
  <c r="D314" i="2"/>
  <c r="C314" i="2"/>
  <c r="F313" i="2"/>
  <c r="E313" i="2"/>
  <c r="D313" i="2"/>
  <c r="C313" i="2"/>
  <c r="F312" i="2"/>
  <c r="E312" i="2"/>
  <c r="D312" i="2"/>
  <c r="C312" i="2"/>
  <c r="F311" i="2"/>
  <c r="E311" i="2"/>
  <c r="D311" i="2"/>
  <c r="C311" i="2"/>
  <c r="F310" i="2"/>
  <c r="E310" i="2"/>
  <c r="D310" i="2"/>
  <c r="C310" i="2"/>
  <c r="C42" i="1" s="1"/>
  <c r="F309" i="2"/>
  <c r="E309" i="2"/>
  <c r="D309" i="2"/>
  <c r="C309" i="2"/>
  <c r="F307" i="2"/>
  <c r="E307" i="2"/>
  <c r="D307" i="2"/>
  <c r="C307" i="2"/>
  <c r="F306" i="2"/>
  <c r="E306" i="2"/>
  <c r="D306" i="2"/>
  <c r="C306" i="2"/>
  <c r="F305" i="2"/>
  <c r="E305" i="2"/>
  <c r="D305" i="2"/>
  <c r="C305" i="2"/>
  <c r="F304" i="2"/>
  <c r="E304" i="2"/>
  <c r="D304" i="2"/>
  <c r="C304" i="2"/>
  <c r="F303" i="2"/>
  <c r="E303" i="2"/>
  <c r="D303" i="2"/>
  <c r="C303" i="2"/>
  <c r="F302" i="2"/>
  <c r="E302" i="2"/>
  <c r="D302" i="2"/>
  <c r="C302" i="2"/>
  <c r="F301" i="2"/>
  <c r="E301" i="2"/>
  <c r="D301" i="2"/>
  <c r="C301" i="2"/>
  <c r="F300" i="2"/>
  <c r="E300" i="2"/>
  <c r="D300" i="2"/>
  <c r="C300" i="2"/>
  <c r="F299" i="2"/>
  <c r="E299" i="2"/>
  <c r="D299" i="2"/>
  <c r="C299" i="2"/>
  <c r="F298" i="2"/>
  <c r="E298" i="2"/>
  <c r="D298" i="2"/>
  <c r="C298" i="2"/>
  <c r="F297" i="2"/>
  <c r="E297" i="2"/>
  <c r="D297" i="2"/>
  <c r="C297" i="2"/>
  <c r="C41" i="1" s="1"/>
  <c r="F296" i="2"/>
  <c r="E296" i="2"/>
  <c r="D296" i="2"/>
  <c r="C296" i="2"/>
  <c r="F294" i="2"/>
  <c r="E294" i="2"/>
  <c r="D294" i="2"/>
  <c r="C294" i="2"/>
  <c r="F293" i="2"/>
  <c r="E293" i="2"/>
  <c r="D293" i="2"/>
  <c r="C293" i="2"/>
  <c r="F292" i="2"/>
  <c r="E292" i="2"/>
  <c r="D292" i="2"/>
  <c r="C292" i="2"/>
  <c r="F291" i="2"/>
  <c r="E291" i="2"/>
  <c r="D291" i="2"/>
  <c r="C291" i="2"/>
  <c r="F290" i="2"/>
  <c r="E290" i="2"/>
  <c r="D290" i="2"/>
  <c r="C290" i="2"/>
  <c r="F289" i="2"/>
  <c r="E289" i="2"/>
  <c r="D289" i="2"/>
  <c r="C289" i="2"/>
  <c r="F288" i="2"/>
  <c r="E288" i="2"/>
  <c r="D288" i="2"/>
  <c r="C288" i="2"/>
  <c r="F287" i="2"/>
  <c r="E287" i="2"/>
  <c r="D287" i="2"/>
  <c r="C287" i="2"/>
  <c r="F286" i="2"/>
  <c r="E286" i="2"/>
  <c r="D286" i="2"/>
  <c r="C286" i="2"/>
  <c r="F285" i="2"/>
  <c r="E285" i="2"/>
  <c r="D285" i="2"/>
  <c r="C285" i="2"/>
  <c r="F284" i="2"/>
  <c r="E284" i="2"/>
  <c r="D284" i="2"/>
  <c r="C284" i="2"/>
  <c r="C40" i="1" s="1"/>
  <c r="F283" i="2"/>
  <c r="E283" i="2"/>
  <c r="D283" i="2"/>
  <c r="C283" i="2"/>
  <c r="F281" i="2"/>
  <c r="E281" i="2"/>
  <c r="D281" i="2"/>
  <c r="C281" i="2"/>
  <c r="F280" i="2"/>
  <c r="E280" i="2"/>
  <c r="D280" i="2"/>
  <c r="C280" i="2"/>
  <c r="F279" i="2"/>
  <c r="E279" i="2"/>
  <c r="D279" i="2"/>
  <c r="C279" i="2"/>
  <c r="F278" i="2"/>
  <c r="E278" i="2"/>
  <c r="D278" i="2"/>
  <c r="C278" i="2"/>
  <c r="F277" i="2"/>
  <c r="E277" i="2"/>
  <c r="D277" i="2"/>
  <c r="C277" i="2"/>
  <c r="F276" i="2"/>
  <c r="E276" i="2"/>
  <c r="D276" i="2"/>
  <c r="C276" i="2"/>
  <c r="F275" i="2"/>
  <c r="E275" i="2"/>
  <c r="D275" i="2"/>
  <c r="C275" i="2"/>
  <c r="F274" i="2"/>
  <c r="E274" i="2"/>
  <c r="D274" i="2"/>
  <c r="C274" i="2"/>
  <c r="F273" i="2"/>
  <c r="E273" i="2"/>
  <c r="D273" i="2"/>
  <c r="C273" i="2"/>
  <c r="F272" i="2"/>
  <c r="E272" i="2"/>
  <c r="D272" i="2"/>
  <c r="C272" i="2"/>
  <c r="F271" i="2"/>
  <c r="E271" i="2"/>
  <c r="D271" i="2"/>
  <c r="C271" i="2"/>
  <c r="F270" i="2"/>
  <c r="E270" i="2"/>
  <c r="D270" i="2"/>
  <c r="C270" i="2"/>
  <c r="F268" i="2"/>
  <c r="E268" i="2"/>
  <c r="D268" i="2"/>
  <c r="C268" i="2"/>
  <c r="F267" i="2"/>
  <c r="E267" i="2"/>
  <c r="D267" i="2"/>
  <c r="C267" i="2"/>
  <c r="F266" i="2"/>
  <c r="E266" i="2"/>
  <c r="D266" i="2"/>
  <c r="C266" i="2"/>
  <c r="F265" i="2"/>
  <c r="E265" i="2"/>
  <c r="D265" i="2"/>
  <c r="C265" i="2"/>
  <c r="F264" i="2"/>
  <c r="E264" i="2"/>
  <c r="D264" i="2"/>
  <c r="C264" i="2"/>
  <c r="F263" i="2"/>
  <c r="E263" i="2"/>
  <c r="D263" i="2"/>
  <c r="C263" i="2"/>
  <c r="F262" i="2"/>
  <c r="E262" i="2"/>
  <c r="D262" i="2"/>
  <c r="C262" i="2"/>
  <c r="F261" i="2"/>
  <c r="E261" i="2"/>
  <c r="D261" i="2"/>
  <c r="C261" i="2"/>
  <c r="F260" i="2"/>
  <c r="E260" i="2"/>
  <c r="D260" i="2"/>
  <c r="C260" i="2"/>
  <c r="F259" i="2"/>
  <c r="E259" i="2"/>
  <c r="D259" i="2"/>
  <c r="C259" i="2"/>
  <c r="F258" i="2"/>
  <c r="E258" i="2"/>
  <c r="D258" i="2"/>
  <c r="C258" i="2"/>
  <c r="F257" i="2"/>
  <c r="E257" i="2"/>
  <c r="D257" i="2"/>
  <c r="C257" i="2"/>
  <c r="F255" i="2"/>
  <c r="E255" i="2"/>
  <c r="D255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1" i="2"/>
  <c r="C150" i="2"/>
  <c r="C149" i="2"/>
  <c r="C148" i="2"/>
  <c r="C146" i="2"/>
  <c r="C145" i="2"/>
  <c r="C144" i="2"/>
  <c r="C143" i="2"/>
  <c r="C142" i="2"/>
  <c r="C141" i="2"/>
  <c r="C140" i="2"/>
  <c r="C138" i="2"/>
  <c r="C137" i="2"/>
  <c r="C136" i="2"/>
  <c r="C135" i="2"/>
  <c r="C134" i="2"/>
  <c r="C132" i="2"/>
  <c r="C131" i="2"/>
  <c r="C130" i="2"/>
  <c r="C129" i="2"/>
  <c r="C127" i="2"/>
  <c r="C125" i="2"/>
  <c r="C124" i="2"/>
  <c r="C123" i="2"/>
  <c r="C122" i="2"/>
  <c r="C120" i="2"/>
  <c r="C119" i="2"/>
  <c r="C118" i="2"/>
  <c r="C117" i="2"/>
  <c r="C116" i="2"/>
  <c r="C115" i="2"/>
  <c r="C114" i="2"/>
  <c r="C112" i="2"/>
  <c r="C111" i="2"/>
  <c r="C110" i="2"/>
  <c r="C109" i="2"/>
  <c r="C107" i="2"/>
  <c r="C106" i="2"/>
  <c r="C104" i="2"/>
  <c r="C103" i="2"/>
  <c r="C102" i="2"/>
  <c r="C99" i="2"/>
  <c r="C96" i="2"/>
  <c r="C95" i="2"/>
  <c r="C94" i="2"/>
  <c r="C93" i="2"/>
  <c r="C88" i="2"/>
  <c r="C80" i="2"/>
  <c r="C79" i="2"/>
  <c r="C78" i="2"/>
  <c r="C77" i="2"/>
  <c r="C76" i="2"/>
  <c r="C75" i="2"/>
  <c r="C71" i="2"/>
  <c r="C70" i="2"/>
  <c r="C69" i="2"/>
  <c r="C67" i="2"/>
  <c r="C66" i="2"/>
  <c r="C65" i="2"/>
  <c r="C64" i="2"/>
  <c r="C63" i="2"/>
  <c r="C57" i="2"/>
  <c r="C56" i="2"/>
  <c r="C54" i="2"/>
  <c r="C51" i="2"/>
  <c r="C47" i="2"/>
  <c r="C45" i="2"/>
  <c r="C43" i="2"/>
  <c r="C41" i="2"/>
  <c r="C34" i="2"/>
  <c r="C33" i="2"/>
  <c r="C29" i="2"/>
  <c r="C23" i="2"/>
  <c r="C20" i="2"/>
  <c r="C19" i="2"/>
  <c r="C15" i="2"/>
  <c r="B13" i="1"/>
  <c r="B12" i="1"/>
  <c r="B11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C21" i="1" l="1"/>
  <c r="C38" i="1"/>
  <c r="C13" i="1"/>
  <c r="C54" i="1"/>
  <c r="C49" i="1"/>
  <c r="C24" i="1"/>
  <c r="C25" i="1"/>
  <c r="C27" i="1"/>
  <c r="C31" i="1"/>
  <c r="C23" i="1"/>
  <c r="C28" i="1"/>
  <c r="C44" i="1"/>
  <c r="C50" i="1"/>
  <c r="C46" i="1"/>
  <c r="C26" i="1"/>
  <c r="C22" i="1"/>
  <c r="C19" i="1"/>
  <c r="C36" i="1"/>
  <c r="C35" i="1"/>
  <c r="C29" i="1"/>
  <c r="C30" i="1"/>
  <c r="C33" i="1"/>
  <c r="C37" i="1"/>
  <c r="C43" i="1"/>
  <c r="C39" i="1"/>
  <c r="C56" i="1"/>
  <c r="C11" i="1"/>
  <c r="G13" i="1" s="1"/>
  <c r="C20" i="1"/>
  <c r="C32" i="1"/>
  <c r="C34" i="1"/>
  <c r="C55" i="1"/>
  <c r="K491" i="2"/>
  <c r="K504" i="2"/>
  <c r="E56" i="1"/>
  <c r="E39" i="1"/>
  <c r="D40" i="1"/>
  <c r="E41" i="1"/>
  <c r="D43" i="1"/>
  <c r="D44" i="1"/>
  <c r="D45" i="1"/>
  <c r="E40" i="1"/>
  <c r="F55" i="1"/>
  <c r="D39" i="1"/>
  <c r="D47" i="1"/>
  <c r="D57" i="1"/>
  <c r="D48" i="1"/>
  <c r="E49" i="1"/>
  <c r="G12" i="1"/>
  <c r="F38" i="1"/>
  <c r="E43" i="1"/>
  <c r="B8" i="1"/>
  <c r="E46" i="1"/>
  <c r="F39" i="1"/>
  <c r="F41" i="1"/>
  <c r="F43" i="1"/>
  <c r="F46" i="1"/>
  <c r="F49" i="1"/>
  <c r="F51" i="1"/>
  <c r="F53" i="1"/>
  <c r="E50" i="1"/>
  <c r="E51" i="1"/>
  <c r="F13" i="1"/>
  <c r="E55" i="1"/>
  <c r="F52" i="1"/>
  <c r="E42" i="1"/>
  <c r="F44" i="1"/>
  <c r="F40" i="1"/>
  <c r="E48" i="1"/>
  <c r="E54" i="1"/>
  <c r="D56" i="1"/>
  <c r="F45" i="1"/>
  <c r="D42" i="1"/>
  <c r="F56" i="1"/>
  <c r="F57" i="1"/>
  <c r="E57" i="1"/>
  <c r="D49" i="1"/>
  <c r="D50" i="1"/>
  <c r="D51" i="1"/>
  <c r="D52" i="1"/>
  <c r="D53" i="1"/>
  <c r="D54" i="1"/>
  <c r="D55" i="1"/>
  <c r="E38" i="1"/>
  <c r="D41" i="1"/>
  <c r="F50" i="1"/>
  <c r="E52" i="1"/>
  <c r="F54" i="1"/>
  <c r="E44" i="1"/>
  <c r="F48" i="1"/>
  <c r="E45" i="1"/>
  <c r="F47" i="1"/>
  <c r="E47" i="1"/>
  <c r="E53" i="1"/>
  <c r="F42" i="1"/>
  <c r="D38" i="1"/>
  <c r="D46" i="1"/>
  <c r="F12" i="1"/>
  <c r="C8" i="1" l="1"/>
</calcChain>
</file>

<file path=xl/sharedStrings.xml><?xml version="1.0" encoding="utf-8"?>
<sst xmlns="http://schemas.openxmlformats.org/spreadsheetml/2006/main" count="927" uniqueCount="407">
  <si>
    <t>Year</t>
  </si>
  <si>
    <t>Number of Deals</t>
  </si>
  <si>
    <t>Value</t>
  </si>
  <si>
    <t>Source</t>
  </si>
  <si>
    <t>in bil. USD</t>
  </si>
  <si>
    <t>in bil. EUR</t>
  </si>
  <si>
    <t>in bil. GBP</t>
  </si>
  <si>
    <t>in bil. YEN</t>
  </si>
  <si>
    <t>Capital IQ</t>
  </si>
  <si>
    <t>Total Since 1985</t>
  </si>
  <si>
    <t xml:space="preserve">Value of Deals </t>
  </si>
  <si>
    <t>Total 2021</t>
  </si>
  <si>
    <t>Total 2022</t>
  </si>
  <si>
    <t>Total 2023</t>
  </si>
  <si>
    <t>Percentage Change</t>
  </si>
  <si>
    <t>2023 to 2022</t>
  </si>
  <si>
    <t>2022 to 2021</t>
  </si>
  <si>
    <t>Month</t>
  </si>
  <si>
    <t>Number</t>
  </si>
  <si>
    <t>Mar-85</t>
  </si>
  <si>
    <t>Apr-85</t>
  </si>
  <si>
    <t>May-85</t>
  </si>
  <si>
    <t>Jun-85</t>
  </si>
  <si>
    <t>Jul-85</t>
  </si>
  <si>
    <t>Aug-85</t>
  </si>
  <si>
    <t>Sep-85</t>
  </si>
  <si>
    <t>Oct-85</t>
  </si>
  <si>
    <t>Nov-85</t>
  </si>
  <si>
    <t>Dec-95</t>
  </si>
  <si>
    <t>Jan-86</t>
  </si>
  <si>
    <t>Feb-86</t>
  </si>
  <si>
    <t>Mar-86</t>
  </si>
  <si>
    <t>Apr-86</t>
  </si>
  <si>
    <t>May-86</t>
  </si>
  <si>
    <t>Jun-86</t>
  </si>
  <si>
    <t>Jul-86</t>
  </si>
  <si>
    <t>Aug-86</t>
  </si>
  <si>
    <t>Sep-86</t>
  </si>
  <si>
    <t>Oct-86</t>
  </si>
  <si>
    <t>Nov-86</t>
  </si>
  <si>
    <t>Dec-86</t>
  </si>
  <si>
    <t>Jan-87</t>
  </si>
  <si>
    <t>Feb-87</t>
  </si>
  <si>
    <t>Mar-87</t>
  </si>
  <si>
    <t>Apr-87</t>
  </si>
  <si>
    <t>May-87</t>
  </si>
  <si>
    <t>Jun-87</t>
  </si>
  <si>
    <t>Jul-87</t>
  </si>
  <si>
    <t>Aug-87</t>
  </si>
  <si>
    <t>Sep-87</t>
  </si>
  <si>
    <t>Oct-87</t>
  </si>
  <si>
    <t>Nov-87</t>
  </si>
  <si>
    <t>Dec-87</t>
  </si>
  <si>
    <t>Jan-88</t>
  </si>
  <si>
    <t>Feb-88</t>
  </si>
  <si>
    <t>Mar-88</t>
  </si>
  <si>
    <t>Apr-88</t>
  </si>
  <si>
    <t>May-88</t>
  </si>
  <si>
    <t>Jun-88</t>
  </si>
  <si>
    <t>Jul-88</t>
  </si>
  <si>
    <t>Aug-88</t>
  </si>
  <si>
    <t>Sep-88</t>
  </si>
  <si>
    <t>Oct-88</t>
  </si>
  <si>
    <t>Nov-88</t>
  </si>
  <si>
    <t>Dec-88</t>
  </si>
  <si>
    <t>Jan-89</t>
  </si>
  <si>
    <t>Feb-89</t>
  </si>
  <si>
    <t>Mar-89</t>
  </si>
  <si>
    <t>Apr-89</t>
  </si>
  <si>
    <t>May-89</t>
  </si>
  <si>
    <t>Jun-89</t>
  </si>
  <si>
    <t>Jul-89</t>
  </si>
  <si>
    <t>Aug-89</t>
  </si>
  <si>
    <t>Sep-89</t>
  </si>
  <si>
    <t>Oct-89</t>
  </si>
  <si>
    <t>Nov-89</t>
  </si>
  <si>
    <t>Dec-89</t>
  </si>
  <si>
    <t>Jan-90</t>
  </si>
  <si>
    <t>Feb-90</t>
  </si>
  <si>
    <t>Mar-90</t>
  </si>
  <si>
    <t>Apr-90</t>
  </si>
  <si>
    <t>May-90</t>
  </si>
  <si>
    <t>Jun-90</t>
  </si>
  <si>
    <t>Jul-90</t>
  </si>
  <si>
    <t>Aug-90</t>
  </si>
  <si>
    <t>Sep-90</t>
  </si>
  <si>
    <t>Oct-90</t>
  </si>
  <si>
    <t>Nov-90</t>
  </si>
  <si>
    <t>Dec-90</t>
  </si>
  <si>
    <t>Jan-91</t>
  </si>
  <si>
    <t>Feb-91</t>
  </si>
  <si>
    <t>Mar-91</t>
  </si>
  <si>
    <t>Apr-91</t>
  </si>
  <si>
    <t>May-91</t>
  </si>
  <si>
    <t>Jun-91</t>
  </si>
  <si>
    <t>Jul-91</t>
  </si>
  <si>
    <t>Aug-91</t>
  </si>
  <si>
    <t>Sep-91</t>
  </si>
  <si>
    <t>Oct-91</t>
  </si>
  <si>
    <t>Nov-91</t>
  </si>
  <si>
    <t>Dec-91</t>
  </si>
  <si>
    <t>Jan-92</t>
  </si>
  <si>
    <t>Feb-92</t>
  </si>
  <si>
    <t>Mar-92</t>
  </si>
  <si>
    <t>Apr-92</t>
  </si>
  <si>
    <t>May-92</t>
  </si>
  <si>
    <t>Jun-92</t>
  </si>
  <si>
    <t>Jul-92</t>
  </si>
  <si>
    <t>Aug-92</t>
  </si>
  <si>
    <t>Sep-92</t>
  </si>
  <si>
    <t>Nov-92</t>
  </si>
  <si>
    <t>Dec-92</t>
  </si>
  <si>
    <t>Jan-93</t>
  </si>
  <si>
    <t>Feb-93</t>
  </si>
  <si>
    <t>Mar-93</t>
  </si>
  <si>
    <t>Apr-93</t>
  </si>
  <si>
    <t>May-93</t>
  </si>
  <si>
    <t>Jun-93</t>
  </si>
  <si>
    <t>Jul-93</t>
  </si>
  <si>
    <t>Aug-93</t>
  </si>
  <si>
    <t>Sep-93</t>
  </si>
  <si>
    <t>Oct-93</t>
  </si>
  <si>
    <t>Nov-93</t>
  </si>
  <si>
    <t>Dec-93</t>
  </si>
  <si>
    <t>Jan-94</t>
  </si>
  <si>
    <t>Feb-94</t>
  </si>
  <si>
    <t>Mar-94</t>
  </si>
  <si>
    <t>Apr-94</t>
  </si>
  <si>
    <t>May-94</t>
  </si>
  <si>
    <t>Jun-94</t>
  </si>
  <si>
    <t>Jul-94</t>
  </si>
  <si>
    <t>Aug-94</t>
  </si>
  <si>
    <t>Sep-94</t>
  </si>
  <si>
    <t>Oct-94</t>
  </si>
  <si>
    <t>Nov-94</t>
  </si>
  <si>
    <t>Dec-94</t>
  </si>
  <si>
    <t>Jan-95</t>
  </si>
  <si>
    <t>Feb-95</t>
  </si>
  <si>
    <t>Mar-95</t>
  </si>
  <si>
    <t>Apr-95</t>
  </si>
  <si>
    <t>May-95</t>
  </si>
  <si>
    <t>Jun-95</t>
  </si>
  <si>
    <t>Jul-95</t>
  </si>
  <si>
    <t>Aug-95</t>
  </si>
  <si>
    <t>Sep-95</t>
  </si>
  <si>
    <t>Oct-95</t>
  </si>
  <si>
    <t>Nov-95</t>
  </si>
  <si>
    <t>Jan-96</t>
  </si>
  <si>
    <t>Feb-96</t>
  </si>
  <si>
    <t>Mar-96</t>
  </si>
  <si>
    <t>Apr-96</t>
  </si>
  <si>
    <t>May-96</t>
  </si>
  <si>
    <t>Jun-96</t>
  </si>
  <si>
    <t>Jul-96</t>
  </si>
  <si>
    <t>Aug-96</t>
  </si>
  <si>
    <t>Sep-96</t>
  </si>
  <si>
    <t>Oct-96</t>
  </si>
  <si>
    <t>Nov-96</t>
  </si>
  <si>
    <t>Dec-96</t>
  </si>
  <si>
    <t>Jan-97</t>
  </si>
  <si>
    <t>Feb-97</t>
  </si>
  <si>
    <t>Mar-97</t>
  </si>
  <si>
    <t>Apr-97</t>
  </si>
  <si>
    <t>May-97</t>
  </si>
  <si>
    <t>Jun-97</t>
  </si>
  <si>
    <t>Jul-97</t>
  </si>
  <si>
    <t>Aug-97</t>
  </si>
  <si>
    <t>Sep-97</t>
  </si>
  <si>
    <t>Oct-97</t>
  </si>
  <si>
    <t>Nov-97</t>
  </si>
  <si>
    <t>Dec-97</t>
  </si>
  <si>
    <t>Jan-98</t>
  </si>
  <si>
    <t>Feb-98</t>
  </si>
  <si>
    <t>Mar-98</t>
  </si>
  <si>
    <t>Apr-98</t>
  </si>
  <si>
    <t>May-98</t>
  </si>
  <si>
    <t>Jun-98</t>
  </si>
  <si>
    <t>Jul-98</t>
  </si>
  <si>
    <t>Aug-98</t>
  </si>
  <si>
    <t>Sep-98</t>
  </si>
  <si>
    <t>Oct-98</t>
  </si>
  <si>
    <t>Nov-98</t>
  </si>
  <si>
    <t>Dec-98</t>
  </si>
  <si>
    <t>Jan-99</t>
  </si>
  <si>
    <t>Feb-99</t>
  </si>
  <si>
    <t>Mar-99</t>
  </si>
  <si>
    <t>Apr-99</t>
  </si>
  <si>
    <t>May-99</t>
  </si>
  <si>
    <t>Jun-99</t>
  </si>
  <si>
    <t>Jul-99</t>
  </si>
  <si>
    <t>Aug-99</t>
  </si>
  <si>
    <t>Sep-99</t>
  </si>
  <si>
    <t>Oct-99</t>
  </si>
  <si>
    <t>Nov-99</t>
  </si>
  <si>
    <t>Dec-99</t>
  </si>
  <si>
    <t>Jan-00</t>
  </si>
  <si>
    <t>Feb-00</t>
  </si>
  <si>
    <t>Mar-00</t>
  </si>
  <si>
    <t>Apr-00</t>
  </si>
  <si>
    <t>May-00</t>
  </si>
  <si>
    <t>Jun-00</t>
  </si>
  <si>
    <t>Jul-00</t>
  </si>
  <si>
    <t>Aug-00</t>
  </si>
  <si>
    <t>Sep-00</t>
  </si>
  <si>
    <t>Oct-00</t>
  </si>
  <si>
    <t>Nov-00</t>
  </si>
  <si>
    <t>Dec-00</t>
  </si>
  <si>
    <t>Jan-02</t>
  </si>
  <si>
    <t>Feb-02</t>
  </si>
  <si>
    <t>Mar-02</t>
  </si>
  <si>
    <t>Apr-02</t>
  </si>
  <si>
    <t>May-02</t>
  </si>
  <si>
    <t>Jun-02</t>
  </si>
  <si>
    <t>Jul-02</t>
  </si>
  <si>
    <t>Aug-02</t>
  </si>
  <si>
    <t>Sep-02</t>
  </si>
  <si>
    <t>Oct-02</t>
  </si>
  <si>
    <t>Nov-02</t>
  </si>
  <si>
    <t>Dec-02</t>
  </si>
  <si>
    <t>Jan-03</t>
  </si>
  <si>
    <t>Feb-03</t>
  </si>
  <si>
    <t>Mar-03</t>
  </si>
  <si>
    <t>Apr-03</t>
  </si>
  <si>
    <t>May-03</t>
  </si>
  <si>
    <t>Jun-03</t>
  </si>
  <si>
    <t>Jul-03</t>
  </si>
  <si>
    <t>Aug-03</t>
  </si>
  <si>
    <t>Sep-03</t>
  </si>
  <si>
    <t>Oct-03</t>
  </si>
  <si>
    <t>Nov-03</t>
  </si>
  <si>
    <t>Dec-03</t>
  </si>
  <si>
    <t>Jan-04</t>
  </si>
  <si>
    <t>Feb-04</t>
  </si>
  <si>
    <t>Mar-04</t>
  </si>
  <si>
    <t>Apr-04</t>
  </si>
  <si>
    <t>May-04</t>
  </si>
  <si>
    <t>Jun-04</t>
  </si>
  <si>
    <t>Jul-04</t>
  </si>
  <si>
    <t>Aug-04</t>
  </si>
  <si>
    <t>Sep-04</t>
  </si>
  <si>
    <t>Oct-04</t>
  </si>
  <si>
    <t>Nov-04</t>
  </si>
  <si>
    <t>Dec-04</t>
  </si>
  <si>
    <t>Jan-05</t>
  </si>
  <si>
    <t>Feb-05</t>
  </si>
  <si>
    <t>Mar-05</t>
  </si>
  <si>
    <t>Apr-05</t>
  </si>
  <si>
    <t>May-05</t>
  </si>
  <si>
    <t>Jun-05</t>
  </si>
  <si>
    <t>Jul-05</t>
  </si>
  <si>
    <t>Aug-05</t>
  </si>
  <si>
    <t>Sep-05</t>
  </si>
  <si>
    <t>Oct-05</t>
  </si>
  <si>
    <t>Nov-05</t>
  </si>
  <si>
    <t>Dec-05</t>
  </si>
  <si>
    <t>Jan-06</t>
  </si>
  <si>
    <t>Feb-06</t>
  </si>
  <si>
    <t>Mar-06</t>
  </si>
  <si>
    <t>Apr-06</t>
  </si>
  <si>
    <t>May-06</t>
  </si>
  <si>
    <t>Jun-06</t>
  </si>
  <si>
    <t>Jul-06</t>
  </si>
  <si>
    <t>Aug-06</t>
  </si>
  <si>
    <t>Sep-06</t>
  </si>
  <si>
    <t>Oct-06</t>
  </si>
  <si>
    <t>Nov-06</t>
  </si>
  <si>
    <t>Dec-06</t>
  </si>
  <si>
    <t>Jan-07</t>
  </si>
  <si>
    <t>Feb-07</t>
  </si>
  <si>
    <t>Mar-07</t>
  </si>
  <si>
    <t>Apr-07</t>
  </si>
  <si>
    <t>May-07</t>
  </si>
  <si>
    <t>Jun-07</t>
  </si>
  <si>
    <t>Jul-07</t>
  </si>
  <si>
    <t>Aug-07</t>
  </si>
  <si>
    <t>Sep-07</t>
  </si>
  <si>
    <t>Oct-07</t>
  </si>
  <si>
    <t>Nov-07</t>
  </si>
  <si>
    <t>Dec-07</t>
  </si>
  <si>
    <t>Jan-08</t>
  </si>
  <si>
    <t>Feb-08</t>
  </si>
  <si>
    <t>Mar-08</t>
  </si>
  <si>
    <t>Apr-08</t>
  </si>
  <si>
    <t>May-08</t>
  </si>
  <si>
    <t>Jun-08</t>
  </si>
  <si>
    <t>Jul-08</t>
  </si>
  <si>
    <t>Aug-08</t>
  </si>
  <si>
    <t>Sep-08</t>
  </si>
  <si>
    <t>Oct-08</t>
  </si>
  <si>
    <t>Nov-08</t>
  </si>
  <si>
    <t>Dec-08</t>
  </si>
  <si>
    <t>Jan-09</t>
  </si>
  <si>
    <t>Feb-09</t>
  </si>
  <si>
    <t>Mar-09</t>
  </si>
  <si>
    <t>Apr-09</t>
  </si>
  <si>
    <t>May-09</t>
  </si>
  <si>
    <t>Jun-09</t>
  </si>
  <si>
    <t>Jul-09</t>
  </si>
  <si>
    <t>Aug-09</t>
  </si>
  <si>
    <t>Sep-09</t>
  </si>
  <si>
    <t>Oct-09</t>
  </si>
  <si>
    <t>Nov-09</t>
  </si>
  <si>
    <t>Dec-09</t>
  </si>
  <si>
    <t>Jan-10</t>
  </si>
  <si>
    <t>Feb-10</t>
  </si>
  <si>
    <t>Mar-10</t>
  </si>
  <si>
    <t>Apr-10</t>
  </si>
  <si>
    <t>May-10</t>
  </si>
  <si>
    <t>Jun-10</t>
  </si>
  <si>
    <t>Jul-10</t>
  </si>
  <si>
    <t>Aug-10</t>
  </si>
  <si>
    <t>Sep-10</t>
  </si>
  <si>
    <t>Oct-10</t>
  </si>
  <si>
    <t>Nov-10</t>
  </si>
  <si>
    <t>Dec-10</t>
  </si>
  <si>
    <t>Jan-11</t>
  </si>
  <si>
    <t>Feb-11</t>
  </si>
  <si>
    <t>Mar-11</t>
  </si>
  <si>
    <t>Apr-11</t>
  </si>
  <si>
    <t>May-11</t>
  </si>
  <si>
    <t>Jun-11</t>
  </si>
  <si>
    <t>Jul-11</t>
  </si>
  <si>
    <t>Aug-11</t>
  </si>
  <si>
    <t>Sep-11</t>
  </si>
  <si>
    <t>Oct-11</t>
  </si>
  <si>
    <t>Nov-11</t>
  </si>
  <si>
    <t>Dec-11</t>
  </si>
  <si>
    <t>Jan-12</t>
  </si>
  <si>
    <t>Feb-12</t>
  </si>
  <si>
    <t>Mar-12</t>
  </si>
  <si>
    <t>Apr-12</t>
  </si>
  <si>
    <t>May-12</t>
  </si>
  <si>
    <t>Jun-12</t>
  </si>
  <si>
    <t>Jul-12</t>
  </si>
  <si>
    <t>Aug-12</t>
  </si>
  <si>
    <t>Sep-12</t>
  </si>
  <si>
    <t>Oct-12</t>
  </si>
  <si>
    <t>Nov-12</t>
  </si>
  <si>
    <t>Dec-12</t>
  </si>
  <si>
    <t>Jan-13</t>
  </si>
  <si>
    <t>Feb-13</t>
  </si>
  <si>
    <t>Mar-13</t>
  </si>
  <si>
    <t>Apr-13</t>
  </si>
  <si>
    <t>May-13</t>
  </si>
  <si>
    <t>Jun-13</t>
  </si>
  <si>
    <t>Jul-13</t>
  </si>
  <si>
    <t>Aug-13</t>
  </si>
  <si>
    <t>Sep-13</t>
  </si>
  <si>
    <t>Oct-13</t>
  </si>
  <si>
    <t>Nov-13</t>
  </si>
  <si>
    <t>Dec-13</t>
  </si>
  <si>
    <t>Jan-14</t>
  </si>
  <si>
    <t>Feb-14</t>
  </si>
  <si>
    <t>Mar-14</t>
  </si>
  <si>
    <t>Apr-14</t>
  </si>
  <si>
    <t>May-14</t>
  </si>
  <si>
    <t>Jun-14</t>
  </si>
  <si>
    <t>Jul-14</t>
  </si>
  <si>
    <t>Aug-14</t>
  </si>
  <si>
    <t>Sep-14</t>
  </si>
  <si>
    <t>Oct-14</t>
  </si>
  <si>
    <t>Nov-14</t>
  </si>
  <si>
    <t>Dec-14</t>
  </si>
  <si>
    <t>Jan-15</t>
  </si>
  <si>
    <t>Feb-15</t>
  </si>
  <si>
    <t>Mar-15</t>
  </si>
  <si>
    <t>Apr-15</t>
  </si>
  <si>
    <t>May-15</t>
  </si>
  <si>
    <t>Jun-15</t>
  </si>
  <si>
    <t>Jul-15</t>
  </si>
  <si>
    <t>Aug-15</t>
  </si>
  <si>
    <t>Sep-15</t>
  </si>
  <si>
    <t>Oct-15</t>
  </si>
  <si>
    <t>Nov-15</t>
  </si>
  <si>
    <t>Dec-15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</si>
  <si>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</si>
  <si>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</si>
  <si>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</si>
  <si>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</si>
  <si>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</si>
  <si>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</si>
  <si>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</si>
  <si>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</si>
  <si>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</si>
  <si>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</si>
  <si>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</si>
  <si>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</si>
  <si>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</si>
  <si>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</si>
  <si>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</si>
  <si>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</si>
  <si>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</si>
  <si>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</si>
  <si>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</si>
  <si>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</si>
  <si>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</si>
  <si>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</si>
  <si>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</si>
  <si>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</si>
  <si>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>`</t>
  </si>
  <si>
    <t>Sep-20</t>
  </si>
  <si>
    <t>Jan-Nov 2022</t>
  </si>
  <si>
    <t>Value of Deals</t>
  </si>
  <si>
    <t>Jan-Nov 2023</t>
  </si>
  <si>
    <t>CONSTRUCTION AND ENGINEERING INDUSTRY</t>
  </si>
  <si>
    <t>Monthly Deals  |  Released January 2024</t>
  </si>
  <si>
    <t>Annual Deals  |  Published Date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</si>
</sst>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mmm\-d"/>
    <numFmt numFmtId="166" formatCode="#,##0.0"/>
    <numFmt numFmtId="167" formatCode="mmm\-dd"/>
    <numFmt numFmtId="168" formatCode="mmmm\-dd"/>
    <numFmt numFmtId="169" formatCode="mmmm\-d"/>
  </numFmts>
  <fonts count="12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0"/>
      <name val="Arial"/>
      <family val="2"/>
    </font>
    <font>
      <sz val="26"/>
      <color theme="0"/>
      <name val="Museo Sans 900"/>
      <family val="3"/>
    </font>
    <font>
      <sz val="10"/>
      <color rgb="FF000000"/>
      <name val="Museo Sans 700"/>
      <family val="3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rgb="FF1529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624C"/>
        <bgColor rgb="FFFFFF0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4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3" fillId="0" borderId="0" xfId="0" applyNumberFormat="1" applyFont="1"/>
    <xf numFmtId="4" fontId="1" fillId="0" borderId="0" xfId="0" applyNumberFormat="1" applyFont="1"/>
    <xf numFmtId="0" fontId="3" fillId="2" borderId="0" xfId="0" applyFont="1" applyFill="1"/>
    <xf numFmtId="0" fontId="3" fillId="3" borderId="0" xfId="0" applyFont="1" applyFill="1"/>
    <xf numFmtId="0" fontId="6" fillId="0" borderId="0" xfId="0" applyFont="1"/>
    <xf numFmtId="0" fontId="7" fillId="0" borderId="0" xfId="0" applyFont="1"/>
    <xf numFmtId="17" fontId="7" fillId="0" borderId="0" xfId="0" applyNumberFormat="1" applyFont="1"/>
    <xf numFmtId="0" fontId="3" fillId="0" borderId="0" xfId="0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165" fontId="1" fillId="0" borderId="0" xfId="0" applyNumberFormat="1" applyFont="1" applyAlignment="1">
      <alignment horizontal="right" wrapText="1"/>
    </xf>
    <xf numFmtId="3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0" fontId="8" fillId="6" borderId="1" xfId="0" applyFont="1" applyFill="1" applyBorder="1"/>
    <xf numFmtId="0" fontId="8" fillId="4" borderId="2" xfId="0" applyFont="1" applyFill="1" applyBorder="1"/>
    <xf numFmtId="3" fontId="11" fillId="4" borderId="3" xfId="0" applyNumberFormat="1" applyFont="1" applyFill="1" applyBorder="1" applyAlignment="1">
      <alignment horizontal="center" wrapText="1"/>
    </xf>
    <xf numFmtId="3" fontId="11" fillId="4" borderId="4" xfId="0" applyNumberFormat="1" applyFont="1" applyFill="1" applyBorder="1" applyAlignment="1">
      <alignment horizontal="center" wrapText="1"/>
    </xf>
    <xf numFmtId="0" fontId="8" fillId="4" borderId="5" xfId="0" applyFont="1" applyFill="1" applyBorder="1"/>
    <xf numFmtId="0" fontId="8" fillId="6" borderId="6" xfId="0" applyFont="1" applyFill="1" applyBorder="1"/>
    <xf numFmtId="0" fontId="8" fillId="6" borderId="15" xfId="0" applyFont="1" applyFill="1" applyBorder="1"/>
    <xf numFmtId="0" fontId="8" fillId="6" borderId="16" xfId="0" applyFont="1" applyFill="1" applyBorder="1"/>
    <xf numFmtId="164" fontId="8" fillId="4" borderId="20" xfId="0" applyNumberFormat="1" applyFont="1" applyFill="1" applyBorder="1" applyAlignment="1">
      <alignment horizontal="center" vertical="center"/>
    </xf>
    <xf numFmtId="4" fontId="8" fillId="4" borderId="20" xfId="0" applyNumberFormat="1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4" fontId="3" fillId="7" borderId="1" xfId="0" applyNumberFormat="1" applyFont="1" applyFill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/>
    </xf>
    <xf numFmtId="4" fontId="3" fillId="8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4" fontId="2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8" fillId="6" borderId="15" xfId="0" quotePrefix="1" applyFont="1" applyFill="1" applyBorder="1" applyAlignment="1">
      <alignment horizontal="center" vertical="center"/>
    </xf>
    <xf numFmtId="0" fontId="8" fillId="6" borderId="16" xfId="0" quotePrefix="1" applyFont="1" applyFill="1" applyBorder="1" applyAlignment="1">
      <alignment horizontal="center" vertical="center"/>
    </xf>
    <xf numFmtId="0" fontId="8" fillId="6" borderId="6" xfId="0" quotePrefix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right"/>
    </xf>
    <xf numFmtId="3" fontId="8" fillId="6" borderId="1" xfId="0" applyNumberFormat="1" applyFont="1" applyFill="1" applyBorder="1"/>
    <xf numFmtId="166" fontId="8" fillId="6" borderId="1" xfId="0" applyNumberFormat="1" applyFont="1" applyFill="1" applyBorder="1"/>
    <xf numFmtId="0" fontId="8" fillId="9" borderId="1" xfId="0" applyFont="1" applyFill="1" applyBorder="1" applyAlignment="1">
      <alignment horizontal="right"/>
    </xf>
    <xf numFmtId="3" fontId="8" fillId="9" borderId="1" xfId="0" applyNumberFormat="1" applyFont="1" applyFill="1" applyBorder="1"/>
    <xf numFmtId="166" fontId="8" fillId="9" borderId="1" xfId="0" applyNumberFormat="1" applyFont="1" applyFill="1" applyBorder="1"/>
    <xf numFmtId="0" fontId="8" fillId="9" borderId="1" xfId="0" applyFont="1" applyFill="1" applyBorder="1"/>
    <xf numFmtId="4" fontId="8" fillId="9" borderId="1" xfId="0" applyNumberFormat="1" applyFont="1" applyFill="1" applyBorder="1"/>
    <xf numFmtId="17" fontId="1" fillId="7" borderId="1" xfId="0" applyNumberFormat="1" applyFont="1" applyFill="1" applyBorder="1" applyAlignment="1">
      <alignment horizontal="right"/>
    </xf>
    <xf numFmtId="3" fontId="1" fillId="7" borderId="1" xfId="0" applyNumberFormat="1" applyFont="1" applyFill="1" applyBorder="1"/>
    <xf numFmtId="166" fontId="1" fillId="7" borderId="1" xfId="0" applyNumberFormat="1" applyFont="1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right"/>
    </xf>
    <xf numFmtId="17" fontId="1" fillId="8" borderId="1" xfId="0" applyNumberFormat="1" applyFont="1" applyFill="1" applyBorder="1" applyAlignment="1">
      <alignment horizontal="right"/>
    </xf>
    <xf numFmtId="3" fontId="1" fillId="8" borderId="1" xfId="0" applyNumberFormat="1" applyFont="1" applyFill="1" applyBorder="1"/>
    <xf numFmtId="166" fontId="1" fillId="8" borderId="1" xfId="0" applyNumberFormat="1" applyFont="1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right"/>
    </xf>
    <xf numFmtId="0" fontId="0" fillId="8" borderId="1" xfId="0" applyFill="1" applyBorder="1"/>
    <xf numFmtId="0" fontId="3" fillId="7" borderId="1" xfId="0" applyFont="1" applyFill="1" applyBorder="1"/>
    <xf numFmtId="0" fontId="3" fillId="8" borderId="1" xfId="0" applyFont="1" applyFill="1" applyBorder="1"/>
    <xf numFmtId="166" fontId="1" fillId="10" borderId="1" xfId="0" applyNumberFormat="1" applyFont="1" applyFill="1" applyBorder="1"/>
    <xf numFmtId="4" fontId="1" fillId="7" borderId="1" xfId="0" applyNumberFormat="1" applyFont="1" applyFill="1" applyBorder="1"/>
    <xf numFmtId="0" fontId="1" fillId="10" borderId="1" xfId="0" applyFont="1" applyFill="1" applyBorder="1"/>
    <xf numFmtId="167" fontId="1" fillId="7" borderId="1" xfId="0" applyNumberFormat="1" applyFont="1" applyFill="1" applyBorder="1" applyAlignment="1">
      <alignment horizontal="right"/>
    </xf>
    <xf numFmtId="4" fontId="2" fillId="10" borderId="1" xfId="0" applyNumberFormat="1" applyFont="1" applyFill="1" applyBorder="1" applyAlignment="1">
      <alignment horizontal="right"/>
    </xf>
    <xf numFmtId="168" fontId="1" fillId="7" borderId="1" xfId="0" applyNumberFormat="1" applyFont="1" applyFill="1" applyBorder="1" applyAlignment="1">
      <alignment horizontal="right"/>
    </xf>
    <xf numFmtId="166" fontId="1" fillId="11" borderId="1" xfId="0" applyNumberFormat="1" applyFont="1" applyFill="1" applyBorder="1"/>
    <xf numFmtId="4" fontId="1" fillId="8" borderId="1" xfId="0" applyNumberFormat="1" applyFont="1" applyFill="1" applyBorder="1"/>
    <xf numFmtId="0" fontId="1" fillId="11" borderId="1" xfId="0" applyFont="1" applyFill="1" applyBorder="1"/>
    <xf numFmtId="167" fontId="1" fillId="8" borderId="1" xfId="0" applyNumberFormat="1" applyFont="1" applyFill="1" applyBorder="1" applyAlignment="1">
      <alignment horizontal="right"/>
    </xf>
    <xf numFmtId="4" fontId="2" fillId="11" borderId="1" xfId="0" applyNumberFormat="1" applyFont="1" applyFill="1" applyBorder="1" applyAlignment="1">
      <alignment horizontal="right"/>
    </xf>
    <xf numFmtId="49" fontId="1" fillId="7" borderId="1" xfId="0" applyNumberFormat="1" applyFont="1" applyFill="1" applyBorder="1" applyAlignment="1">
      <alignment horizontal="right"/>
    </xf>
    <xf numFmtId="3" fontId="4" fillId="7" borderId="1" xfId="0" applyNumberFormat="1" applyFont="1" applyFill="1" applyBorder="1" applyAlignment="1">
      <alignment horizontal="right"/>
    </xf>
    <xf numFmtId="4" fontId="4" fillId="7" borderId="1" xfId="0" applyNumberFormat="1" applyFont="1" applyFill="1" applyBorder="1" applyAlignment="1">
      <alignment horizontal="right"/>
    </xf>
    <xf numFmtId="49" fontId="1" fillId="8" borderId="1" xfId="0" applyNumberFormat="1" applyFont="1" applyFill="1" applyBorder="1" applyAlignment="1">
      <alignment horizontal="right"/>
    </xf>
    <xf numFmtId="3" fontId="4" fillId="8" borderId="1" xfId="0" applyNumberFormat="1" applyFont="1" applyFill="1" applyBorder="1" applyAlignment="1">
      <alignment horizontal="right"/>
    </xf>
    <xf numFmtId="4" fontId="4" fillId="8" borderId="1" xfId="0" applyNumberFormat="1" applyFont="1" applyFill="1" applyBorder="1" applyAlignment="1">
      <alignment horizontal="right"/>
    </xf>
    <xf numFmtId="3" fontId="5" fillId="8" borderId="1" xfId="0" applyNumberFormat="1" applyFont="1" applyFill="1" applyBorder="1" applyAlignment="1">
      <alignment horizontal="right"/>
    </xf>
    <xf numFmtId="165" fontId="1" fillId="7" borderId="1" xfId="0" applyNumberFormat="1" applyFont="1" applyFill="1" applyBorder="1" applyAlignment="1">
      <alignment horizontal="right"/>
    </xf>
    <xf numFmtId="169" fontId="1" fillId="7" borderId="1" xfId="0" applyNumberFormat="1" applyFont="1" applyFill="1" applyBorder="1" applyAlignment="1">
      <alignment horizontal="right"/>
    </xf>
    <xf numFmtId="165" fontId="1" fillId="8" borderId="1" xfId="0" applyNumberFormat="1" applyFont="1" applyFill="1" applyBorder="1" applyAlignment="1">
      <alignment horizontal="right"/>
    </xf>
    <xf numFmtId="165" fontId="1" fillId="7" borderId="1" xfId="0" applyNumberFormat="1" applyFont="1" applyFill="1" applyBorder="1"/>
    <xf numFmtId="3" fontId="4" fillId="7" borderId="1" xfId="0" applyNumberFormat="1" applyFont="1" applyFill="1" applyBorder="1"/>
    <xf numFmtId="169" fontId="1" fillId="7" borderId="1" xfId="0" applyNumberFormat="1" applyFont="1" applyFill="1" applyBorder="1"/>
    <xf numFmtId="4" fontId="4" fillId="7" borderId="1" xfId="0" applyNumberFormat="1" applyFont="1" applyFill="1" applyBorder="1"/>
    <xf numFmtId="3" fontId="1" fillId="7" borderId="1" xfId="0" applyNumberFormat="1" applyFont="1" applyFill="1" applyBorder="1" applyAlignment="1">
      <alignment horizontal="right"/>
    </xf>
    <xf numFmtId="4" fontId="1" fillId="7" borderId="1" xfId="0" applyNumberFormat="1" applyFont="1" applyFill="1" applyBorder="1" applyAlignment="1">
      <alignment horizontal="right"/>
    </xf>
    <xf numFmtId="166" fontId="1" fillId="7" borderId="1" xfId="0" applyNumberFormat="1" applyFont="1" applyFill="1" applyBorder="1" applyAlignment="1">
      <alignment horizontal="right"/>
    </xf>
    <xf numFmtId="165" fontId="1" fillId="8" borderId="1" xfId="0" applyNumberFormat="1" applyFont="1" applyFill="1" applyBorder="1"/>
    <xf numFmtId="3" fontId="4" fillId="8" borderId="1" xfId="0" applyNumberFormat="1" applyFont="1" applyFill="1" applyBorder="1"/>
    <xf numFmtId="169" fontId="1" fillId="8" borderId="1" xfId="0" applyNumberFormat="1" applyFont="1" applyFill="1" applyBorder="1"/>
    <xf numFmtId="4" fontId="4" fillId="8" borderId="1" xfId="0" applyNumberFormat="1" applyFont="1" applyFill="1" applyBorder="1"/>
    <xf numFmtId="165" fontId="3" fillId="8" borderId="1" xfId="0" applyNumberFormat="1" applyFont="1" applyFill="1" applyBorder="1"/>
    <xf numFmtId="3" fontId="1" fillId="8" borderId="1" xfId="0" applyNumberFormat="1" applyFont="1" applyFill="1" applyBorder="1" applyAlignment="1">
      <alignment horizontal="right"/>
    </xf>
    <xf numFmtId="166" fontId="1" fillId="8" borderId="1" xfId="0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wrapText="1"/>
    </xf>
    <xf numFmtId="4" fontId="11" fillId="4" borderId="1" xfId="0" applyNumberFormat="1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3" fontId="1" fillId="7" borderId="1" xfId="0" applyNumberFormat="1" applyFont="1" applyFill="1" applyBorder="1" applyAlignment="1">
      <alignment horizontal="right" wrapText="1"/>
    </xf>
    <xf numFmtId="4" fontId="1" fillId="7" borderId="1" xfId="0" applyNumberFormat="1" applyFont="1" applyFill="1" applyBorder="1" applyAlignment="1">
      <alignment horizontal="right" wrapText="1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3" fontId="11" fillId="4" borderId="17" xfId="0" applyNumberFormat="1" applyFont="1" applyFill="1" applyBorder="1" applyAlignment="1">
      <alignment horizontal="center" vertical="center" wrapText="1"/>
    </xf>
    <xf numFmtId="3" fontId="11" fillId="4" borderId="20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4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2963"/>
      <color rgb="FFDF6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00000"/>
                </a:solidFill>
                <a:latin typeface="Roboto"/>
              </a:defRPr>
            </a:pPr>
            <a:r>
              <a:rPr lang="en-PH" sz="1600" b="1">
                <a:solidFill>
                  <a:srgbClr val="152963"/>
                </a:solidFill>
                <a:latin typeface="Roboto"/>
              </a:rPr>
              <a:t>Mergers &amp; Acquisitions - Construction &amp; Engineering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152963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Annually!$A$19:$A$57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Annually!$B$19:$B$57</c:f>
              <c:numCache>
                <c:formatCode>#,##0</c:formatCode>
                <c:ptCount val="39"/>
                <c:pt idx="0">
                  <c:v>11</c:v>
                </c:pt>
                <c:pt idx="1">
                  <c:v>16</c:v>
                </c:pt>
                <c:pt idx="2">
                  <c:v>18</c:v>
                </c:pt>
                <c:pt idx="3">
                  <c:v>18</c:v>
                </c:pt>
                <c:pt idx="4">
                  <c:v>23</c:v>
                </c:pt>
                <c:pt idx="5">
                  <c:v>24</c:v>
                </c:pt>
                <c:pt idx="6">
                  <c:v>29</c:v>
                </c:pt>
                <c:pt idx="7">
                  <c:v>31</c:v>
                </c:pt>
                <c:pt idx="8">
                  <c:v>54</c:v>
                </c:pt>
                <c:pt idx="9">
                  <c:v>48</c:v>
                </c:pt>
                <c:pt idx="10">
                  <c:v>67</c:v>
                </c:pt>
                <c:pt idx="11">
                  <c:v>105</c:v>
                </c:pt>
                <c:pt idx="12">
                  <c:v>165</c:v>
                </c:pt>
                <c:pt idx="13">
                  <c:v>794</c:v>
                </c:pt>
                <c:pt idx="14">
                  <c:v>1028</c:v>
                </c:pt>
                <c:pt idx="15">
                  <c:v>1137</c:v>
                </c:pt>
                <c:pt idx="16">
                  <c:v>1529</c:v>
                </c:pt>
                <c:pt idx="17">
                  <c:v>1359</c:v>
                </c:pt>
                <c:pt idx="18">
                  <c:v>1432</c:v>
                </c:pt>
                <c:pt idx="19">
                  <c:v>1700</c:v>
                </c:pt>
                <c:pt idx="20">
                  <c:v>3134</c:v>
                </c:pt>
                <c:pt idx="21">
                  <c:v>4580</c:v>
                </c:pt>
                <c:pt idx="22">
                  <c:v>5621</c:v>
                </c:pt>
                <c:pt idx="23">
                  <c:v>5350</c:v>
                </c:pt>
                <c:pt idx="24">
                  <c:v>4282</c:v>
                </c:pt>
                <c:pt idx="25">
                  <c:v>5641</c:v>
                </c:pt>
                <c:pt idx="26">
                  <c:v>6265</c:v>
                </c:pt>
                <c:pt idx="27">
                  <c:v>6106</c:v>
                </c:pt>
                <c:pt idx="28">
                  <c:v>5920</c:v>
                </c:pt>
                <c:pt idx="29">
                  <c:v>6422</c:v>
                </c:pt>
                <c:pt idx="30">
                  <c:v>6599</c:v>
                </c:pt>
                <c:pt idx="31">
                  <c:v>6155</c:v>
                </c:pt>
                <c:pt idx="32">
                  <c:v>5379</c:v>
                </c:pt>
                <c:pt idx="33">
                  <c:v>5362</c:v>
                </c:pt>
                <c:pt idx="34">
                  <c:v>4963</c:v>
                </c:pt>
                <c:pt idx="35">
                  <c:v>4342</c:v>
                </c:pt>
                <c:pt idx="36">
                  <c:v>5359</c:v>
                </c:pt>
                <c:pt idx="37">
                  <c:v>4629</c:v>
                </c:pt>
                <c:pt idx="38">
                  <c:v>3855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48F-42E9-AE7D-05F84ACD4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380032"/>
        <c:axId val="295637521"/>
      </c:barChart>
      <c:lineChart>
        <c:grouping val="standard"/>
        <c:varyColors val="0"/>
        <c:ser>
          <c:idx val="1"/>
          <c:order val="1"/>
          <c:tx>
            <c:strRef>
              <c:f>Annually!$C$18</c:f>
              <c:strCache>
                <c:ptCount val="1"/>
                <c:pt idx="0">
                  <c:v>in bil. USD</c:v>
                </c:pt>
              </c:strCache>
            </c:strRef>
          </c:tx>
          <c:spPr>
            <a:ln w="19050" cmpd="sng">
              <a:solidFill>
                <a:srgbClr val="DB4437"/>
              </a:solidFill>
            </a:ln>
          </c:spPr>
          <c:marker>
            <c:symbol val="none"/>
          </c:marker>
          <c:cat>
            <c:numRef>
              <c:f>Annually!$A$19:$A$57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Annually!$C$19:$C$57</c:f>
              <c:numCache>
                <c:formatCode>#,##0.00</c:formatCode>
                <c:ptCount val="39"/>
                <c:pt idx="0">
                  <c:v>0.24280000000000002</c:v>
                </c:pt>
                <c:pt idx="1">
                  <c:v>0.40598000000000001</c:v>
                </c:pt>
                <c:pt idx="2">
                  <c:v>6.8643999999999998</c:v>
                </c:pt>
                <c:pt idx="3">
                  <c:v>9.0551999999999992</c:v>
                </c:pt>
                <c:pt idx="4">
                  <c:v>1.5938699999999999</c:v>
                </c:pt>
                <c:pt idx="5">
                  <c:v>4.1863000000000001</c:v>
                </c:pt>
                <c:pt idx="6">
                  <c:v>2.8466</c:v>
                </c:pt>
                <c:pt idx="7">
                  <c:v>6.0388999999999999</c:v>
                </c:pt>
                <c:pt idx="8">
                  <c:v>30.152809999999999</c:v>
                </c:pt>
                <c:pt idx="9">
                  <c:v>2.4672099999999997</c:v>
                </c:pt>
                <c:pt idx="10">
                  <c:v>5.0176700000000007</c:v>
                </c:pt>
                <c:pt idx="11">
                  <c:v>9.4428000000000001</c:v>
                </c:pt>
                <c:pt idx="12">
                  <c:v>29.980600000000003</c:v>
                </c:pt>
                <c:pt idx="13">
                  <c:v>65.209409999999991</c:v>
                </c:pt>
                <c:pt idx="14">
                  <c:v>181.23062999999999</c:v>
                </c:pt>
                <c:pt idx="15">
                  <c:v>166.08307000000002</c:v>
                </c:pt>
                <c:pt idx="16">
                  <c:v>147.96970000000002</c:v>
                </c:pt>
                <c:pt idx="17">
                  <c:v>131.57802000000001</c:v>
                </c:pt>
                <c:pt idx="18">
                  <c:v>133.68040999999999</c:v>
                </c:pt>
                <c:pt idx="19">
                  <c:v>175.51141999999999</c:v>
                </c:pt>
                <c:pt idx="20">
                  <c:v>355.27660000000003</c:v>
                </c:pt>
                <c:pt idx="21">
                  <c:v>567.78719000000001</c:v>
                </c:pt>
                <c:pt idx="22">
                  <c:v>707.4683</c:v>
                </c:pt>
                <c:pt idx="23">
                  <c:v>424.08700000000005</c:v>
                </c:pt>
                <c:pt idx="24">
                  <c:v>345.07129999999995</c:v>
                </c:pt>
                <c:pt idx="25">
                  <c:v>411.32279999999997</c:v>
                </c:pt>
                <c:pt idx="26">
                  <c:v>431.91539999999992</c:v>
                </c:pt>
                <c:pt idx="27">
                  <c:v>374.83629999999999</c:v>
                </c:pt>
                <c:pt idx="28">
                  <c:v>356.79070000000002</c:v>
                </c:pt>
                <c:pt idx="29">
                  <c:v>494.74110000000002</c:v>
                </c:pt>
                <c:pt idx="30">
                  <c:v>564.33220000000006</c:v>
                </c:pt>
                <c:pt idx="31">
                  <c:v>457.01000000000005</c:v>
                </c:pt>
                <c:pt idx="32">
                  <c:v>477.12150000000003</c:v>
                </c:pt>
                <c:pt idx="33">
                  <c:v>437.9914</c:v>
                </c:pt>
                <c:pt idx="34">
                  <c:v>542.76929999999993</c:v>
                </c:pt>
                <c:pt idx="35">
                  <c:v>434.46459999999996</c:v>
                </c:pt>
                <c:pt idx="36">
                  <c:v>438.87290000000002</c:v>
                </c:pt>
                <c:pt idx="37">
                  <c:v>445.10740000000004</c:v>
                </c:pt>
                <c:pt idx="38">
                  <c:v>191.82849999999999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F-42E9-AE7D-05F84ACD4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4069216"/>
        <c:axId val="135384783"/>
      </c:lineChart>
      <c:catAx>
        <c:axId val="180238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PH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lvl="0">
              <a:defRPr sz="1000" b="0">
                <a:solidFill>
                  <a:srgbClr val="222222"/>
                </a:solidFill>
                <a:latin typeface="Roboto"/>
              </a:defRPr>
            </a:pPr>
            <a:endParaRPr lang="en-US"/>
          </a:p>
        </c:txPr>
        <c:crossAx val="295637521"/>
        <c:crosses val="autoZero"/>
        <c:auto val="1"/>
        <c:lblAlgn val="ctr"/>
        <c:lblOffset val="100"/>
        <c:noMultiLvlLbl val="1"/>
      </c:catAx>
      <c:valAx>
        <c:axId val="2956375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n-PH" b="0">
                    <a:solidFill>
                      <a:srgbClr val="000000"/>
                    </a:solidFill>
                    <a:latin typeface="Roboto"/>
                  </a:rPr>
                  <a:t>Number of Transactions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802380032"/>
        <c:crosses val="autoZero"/>
        <c:crossBetween val="between"/>
      </c:valAx>
      <c:catAx>
        <c:axId val="2014069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5384783"/>
        <c:crosses val="autoZero"/>
        <c:auto val="1"/>
        <c:lblAlgn val="ctr"/>
        <c:lblOffset val="100"/>
        <c:noMultiLvlLbl val="1"/>
      </c:catAx>
      <c:valAx>
        <c:axId val="135384783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n-PH" b="0">
                    <a:solidFill>
                      <a:srgbClr val="000000"/>
                    </a:solidFill>
                    <a:latin typeface="Roboto"/>
                  </a:rPr>
                  <a:t>Value of Transactions (in bil. USD)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2014069216"/>
        <c:crosses val="max"/>
        <c:crossBetween val="between"/>
      </c:valAx>
    </c:plotArea>
    <c:legend>
      <c:legendPos val="t"/>
      <c:overlay val="0"/>
      <c:txPr>
        <a:bodyPr/>
        <a:lstStyle/>
        <a:p>
          <a:pPr lvl="0">
            <a:defRPr sz="1000" b="0">
              <a:solidFill>
                <a:srgbClr val="222222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16</xdr:row>
      <xdr:rowOff>1905</xdr:rowOff>
    </xdr:from>
    <xdr:ext cx="9115425" cy="530352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1</xdr:col>
      <xdr:colOff>11512</xdr:colOff>
      <xdr:row>2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D904241-4082-CC73-1C41-1B9D0DC8F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6402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4"/>
  <sheetViews>
    <sheetView tabSelected="1" topLeftCell="E25" workbookViewId="0">
      <selection sqref="A1:S4"/>
    </sheetView>
  </sheetViews>
  <sheetFormatPr defaultColWidth="12.5546875" defaultRowHeight="15.75" customHeight="1" x14ac:dyDescent="0.25"/>
  <cols>
    <col min="1" max="1" width="15" bestFit="1" customWidth="1"/>
    <col min="2" max="2" width="14.88671875" bestFit="1" customWidth="1"/>
    <col min="6" max="6" width="14.44140625" customWidth="1"/>
    <col min="7" max="7" width="15.44140625" customWidth="1"/>
    <col min="9" max="19" width="12.109375" customWidth="1"/>
  </cols>
  <sheetData>
    <row r="1" spans="1:19" ht="15.75" customHeight="1" x14ac:dyDescent="0.25">
      <c r="A1" s="114" t="s">
        <v>404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6"/>
    </row>
    <row r="2" spans="1:19" ht="13.8" customHeight="1" x14ac:dyDescent="0.25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9"/>
    </row>
    <row r="3" spans="1:19" ht="13.8" customHeight="1" x14ac:dyDescent="0.25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9"/>
    </row>
    <row r="4" spans="1:19" ht="13.8" customHeight="1" x14ac:dyDescent="0.25">
      <c r="A4" s="120" t="s">
        <v>406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2"/>
    </row>
    <row r="5" spans="1:19" ht="13.8" x14ac:dyDescent="0.3">
      <c r="B5" s="7"/>
      <c r="C5" s="9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</row>
    <row r="6" spans="1:19" ht="13.8" x14ac:dyDescent="0.3">
      <c r="B6" s="7"/>
      <c r="C6" s="9"/>
    </row>
    <row r="7" spans="1:19" ht="26.4" x14ac:dyDescent="0.25">
      <c r="A7" s="26"/>
      <c r="B7" s="24" t="s">
        <v>1</v>
      </c>
      <c r="C7" s="25" t="s">
        <v>10</v>
      </c>
    </row>
    <row r="8" spans="1:19" ht="13.2" x14ac:dyDescent="0.25">
      <c r="A8" s="27" t="s">
        <v>9</v>
      </c>
      <c r="B8" s="37">
        <f>SUM(B19:B57)</f>
        <v>109552</v>
      </c>
      <c r="C8" s="38">
        <f>SUM(C19:C57)</f>
        <v>9568.3522900000007</v>
      </c>
    </row>
    <row r="9" spans="1:19" ht="13.2" x14ac:dyDescent="0.25"/>
    <row r="10" spans="1:19" ht="27" x14ac:dyDescent="0.3">
      <c r="A10" s="23"/>
      <c r="B10" s="24" t="s">
        <v>1</v>
      </c>
      <c r="C10" s="25" t="s">
        <v>10</v>
      </c>
      <c r="J10" s="7"/>
      <c r="K10" s="7"/>
      <c r="L10" s="8"/>
    </row>
    <row r="11" spans="1:19" ht="13.8" x14ac:dyDescent="0.3">
      <c r="A11" s="28" t="s">
        <v>11</v>
      </c>
      <c r="B11" s="35">
        <f>SUM(Monthly!B478:B489)</f>
        <v>5359</v>
      </c>
      <c r="C11" s="36">
        <f>SUM(Monthly!C478:C489)</f>
        <v>438.87290000000002</v>
      </c>
      <c r="E11" s="131" t="s">
        <v>14</v>
      </c>
      <c r="F11" s="131"/>
      <c r="G11" s="131"/>
      <c r="K11" s="7"/>
      <c r="L11" s="8"/>
    </row>
    <row r="12" spans="1:19" ht="13.8" x14ac:dyDescent="0.3">
      <c r="A12" s="29" t="s">
        <v>12</v>
      </c>
      <c r="B12" s="40">
        <f>SUM(Monthly!B491:B502)</f>
        <v>4629</v>
      </c>
      <c r="C12" s="41">
        <f>SUM(Monthly!C491:C502)</f>
        <v>445.10740000000004</v>
      </c>
      <c r="E12" s="28" t="s">
        <v>15</v>
      </c>
      <c r="F12" s="39">
        <f>((B13-B12)/B12)*100</f>
        <v>-16.720674011665587</v>
      </c>
      <c r="G12" s="39">
        <f>((C13-C12)/C12)*100</f>
        <v>-56.902873328998801</v>
      </c>
      <c r="K12" s="7"/>
      <c r="L12" s="9"/>
    </row>
    <row r="13" spans="1:19" ht="13.2" x14ac:dyDescent="0.25">
      <c r="A13" s="27" t="s">
        <v>13</v>
      </c>
      <c r="B13" s="35">
        <f>SUM(Monthly!B504:B515)</f>
        <v>3855</v>
      </c>
      <c r="C13" s="36">
        <f>SUM(Monthly!C504:C515)</f>
        <v>191.82849999999999</v>
      </c>
      <c r="E13" s="27" t="s">
        <v>16</v>
      </c>
      <c r="F13" s="42">
        <f>((B12-B11)/B11)*100</f>
        <v>-13.62194439261056</v>
      </c>
      <c r="G13" s="42">
        <f>((C12-C11)/C11)*100</f>
        <v>1.4205707392732669</v>
      </c>
    </row>
    <row r="14" spans="1:19" ht="13.8" x14ac:dyDescent="0.3">
      <c r="B14" s="7"/>
      <c r="C14" s="9"/>
    </row>
    <row r="15" spans="1:19" ht="13.8" x14ac:dyDescent="0.3">
      <c r="B15" s="7"/>
      <c r="C15" s="9"/>
    </row>
    <row r="16" spans="1:19" ht="13.8" x14ac:dyDescent="0.3">
      <c r="B16" s="7"/>
      <c r="C16" s="9"/>
    </row>
    <row r="17" spans="1:26" ht="26.4" customHeight="1" x14ac:dyDescent="0.25">
      <c r="A17" s="125" t="s">
        <v>0</v>
      </c>
      <c r="B17" s="123" t="s">
        <v>1</v>
      </c>
      <c r="C17" s="129" t="s">
        <v>2</v>
      </c>
      <c r="D17" s="130"/>
      <c r="E17" s="130"/>
      <c r="F17" s="130"/>
      <c r="G17" s="127" t="s">
        <v>3</v>
      </c>
      <c r="H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2" x14ac:dyDescent="0.25">
      <c r="A18" s="126"/>
      <c r="B18" s="124"/>
      <c r="C18" s="30" t="s">
        <v>4</v>
      </c>
      <c r="D18" s="31" t="s">
        <v>5</v>
      </c>
      <c r="E18" s="31" t="s">
        <v>6</v>
      </c>
      <c r="F18" s="31" t="s">
        <v>7</v>
      </c>
      <c r="G18" s="128"/>
      <c r="H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2" x14ac:dyDescent="0.25">
      <c r="A19" s="46">
        <v>1985</v>
      </c>
      <c r="B19" s="32">
        <f>SUM(Monthly!B10:B21)</f>
        <v>11</v>
      </c>
      <c r="C19" s="33">
        <f>SUM(Monthly!C10:C21)</f>
        <v>0.24280000000000002</v>
      </c>
      <c r="D19" s="33"/>
      <c r="E19" s="33"/>
      <c r="F19" s="33"/>
      <c r="G19" s="34" t="s">
        <v>8</v>
      </c>
    </row>
    <row r="20" spans="1:26" ht="13.2" x14ac:dyDescent="0.25">
      <c r="A20" s="47">
        <v>1986</v>
      </c>
      <c r="B20" s="43">
        <f>SUM(Monthly!B23:B34)</f>
        <v>16</v>
      </c>
      <c r="C20" s="44">
        <f>SUM(Monthly!C23:C34)</f>
        <v>0.40598000000000001</v>
      </c>
      <c r="D20" s="44"/>
      <c r="E20" s="44"/>
      <c r="F20" s="44"/>
      <c r="G20" s="45" t="s">
        <v>8</v>
      </c>
    </row>
    <row r="21" spans="1:26" ht="13.2" x14ac:dyDescent="0.25">
      <c r="A21" s="47">
        <v>1987</v>
      </c>
      <c r="B21" s="32">
        <f>SUM(Monthly!B36:B47)</f>
        <v>18</v>
      </c>
      <c r="C21" s="33">
        <f>SUM(Monthly!C36:C47)</f>
        <v>6.8643999999999998</v>
      </c>
      <c r="D21" s="33"/>
      <c r="E21" s="33"/>
      <c r="F21" s="33"/>
      <c r="G21" s="34" t="s">
        <v>8</v>
      </c>
    </row>
    <row r="22" spans="1:26" ht="13.2" x14ac:dyDescent="0.25">
      <c r="A22" s="47">
        <v>1988</v>
      </c>
      <c r="B22" s="43">
        <f>SUM(Monthly!B49:B60)</f>
        <v>18</v>
      </c>
      <c r="C22" s="44">
        <f>SUM(Monthly!C49:C60)</f>
        <v>9.0551999999999992</v>
      </c>
      <c r="D22" s="44"/>
      <c r="E22" s="44"/>
      <c r="F22" s="44"/>
      <c r="G22" s="45" t="s">
        <v>8</v>
      </c>
    </row>
    <row r="23" spans="1:26" ht="13.2" x14ac:dyDescent="0.25">
      <c r="A23" s="47">
        <v>1989</v>
      </c>
      <c r="B23" s="32">
        <f>SUM(Monthly!B62:B73)</f>
        <v>23</v>
      </c>
      <c r="C23" s="33">
        <f>SUM(Monthly!C62:C73)</f>
        <v>1.5938699999999999</v>
      </c>
      <c r="D23" s="33"/>
      <c r="E23" s="33"/>
      <c r="F23" s="33"/>
      <c r="G23" s="34" t="s">
        <v>8</v>
      </c>
    </row>
    <row r="24" spans="1:26" ht="13.2" x14ac:dyDescent="0.25">
      <c r="A24" s="47">
        <v>1990</v>
      </c>
      <c r="B24" s="43">
        <f>SUM(Monthly!B75:B86)</f>
        <v>24</v>
      </c>
      <c r="C24" s="44">
        <f>SUM(Monthly!C75:C86)</f>
        <v>4.1863000000000001</v>
      </c>
      <c r="D24" s="44"/>
      <c r="E24" s="44"/>
      <c r="F24" s="44"/>
      <c r="G24" s="45" t="s">
        <v>8</v>
      </c>
    </row>
    <row r="25" spans="1:26" ht="13.2" x14ac:dyDescent="0.25">
      <c r="A25" s="47">
        <v>1991</v>
      </c>
      <c r="B25" s="32">
        <f>SUM(Monthly!B88:B99)</f>
        <v>29</v>
      </c>
      <c r="C25" s="33">
        <f>SUM(Monthly!C88:C99)</f>
        <v>2.8466</v>
      </c>
      <c r="D25" s="33"/>
      <c r="E25" s="33"/>
      <c r="F25" s="33"/>
      <c r="G25" s="34" t="s">
        <v>8</v>
      </c>
    </row>
    <row r="26" spans="1:26" ht="13.2" x14ac:dyDescent="0.25">
      <c r="A26" s="47">
        <v>1992</v>
      </c>
      <c r="B26" s="43">
        <f>SUM(Monthly!B101:B112)</f>
        <v>31</v>
      </c>
      <c r="C26" s="44">
        <f>SUM(Monthly!C101:C112)</f>
        <v>6.0388999999999999</v>
      </c>
      <c r="D26" s="44"/>
      <c r="E26" s="44"/>
      <c r="F26" s="44"/>
      <c r="G26" s="45" t="s">
        <v>8</v>
      </c>
    </row>
    <row r="27" spans="1:26" ht="13.2" x14ac:dyDescent="0.25">
      <c r="A27" s="47">
        <v>1993</v>
      </c>
      <c r="B27" s="32">
        <f>SUM(Monthly!B114:B125)</f>
        <v>54</v>
      </c>
      <c r="C27" s="33">
        <f>SUM(Monthly!C114:C125)</f>
        <v>30.152809999999999</v>
      </c>
      <c r="D27" s="33"/>
      <c r="E27" s="33"/>
      <c r="F27" s="33"/>
      <c r="G27" s="34" t="s">
        <v>8</v>
      </c>
    </row>
    <row r="28" spans="1:26" ht="13.2" x14ac:dyDescent="0.25">
      <c r="A28" s="47">
        <v>1994</v>
      </c>
      <c r="B28" s="43">
        <f>SUM(Monthly!B127:B138)</f>
        <v>48</v>
      </c>
      <c r="C28" s="44">
        <f>SUM(Monthly!C127:C138)</f>
        <v>2.4672099999999997</v>
      </c>
      <c r="D28" s="44"/>
      <c r="E28" s="44"/>
      <c r="F28" s="44"/>
      <c r="G28" s="45" t="s">
        <v>8</v>
      </c>
    </row>
    <row r="29" spans="1:26" ht="13.2" x14ac:dyDescent="0.25">
      <c r="A29" s="47">
        <v>1995</v>
      </c>
      <c r="B29" s="32">
        <f>SUM(Monthly!B140:B151)</f>
        <v>67</v>
      </c>
      <c r="C29" s="33">
        <f>SUM(Monthly!C140:C151)</f>
        <v>5.0176700000000007</v>
      </c>
      <c r="D29" s="33"/>
      <c r="E29" s="33"/>
      <c r="F29" s="33"/>
      <c r="G29" s="34" t="s">
        <v>8</v>
      </c>
    </row>
    <row r="30" spans="1:26" ht="13.2" x14ac:dyDescent="0.25">
      <c r="A30" s="47">
        <v>1996</v>
      </c>
      <c r="B30" s="43">
        <f>SUM(Monthly!B153:B164)</f>
        <v>105</v>
      </c>
      <c r="C30" s="44">
        <f>SUM(Monthly!C153:C164)</f>
        <v>9.4428000000000001</v>
      </c>
      <c r="D30" s="44"/>
      <c r="E30" s="44"/>
      <c r="F30" s="44"/>
      <c r="G30" s="45" t="s">
        <v>8</v>
      </c>
    </row>
    <row r="31" spans="1:26" ht="13.2" x14ac:dyDescent="0.25">
      <c r="A31" s="47">
        <v>1997</v>
      </c>
      <c r="B31" s="32">
        <f>SUM(Monthly!B166:B177)</f>
        <v>165</v>
      </c>
      <c r="C31" s="33">
        <f>SUM(Monthly!C166:C177)</f>
        <v>29.980600000000003</v>
      </c>
      <c r="D31" s="33"/>
      <c r="E31" s="33"/>
      <c r="F31" s="33"/>
      <c r="G31" s="34" t="s">
        <v>8</v>
      </c>
    </row>
    <row r="32" spans="1:26" ht="13.2" x14ac:dyDescent="0.25">
      <c r="A32" s="47">
        <v>1998</v>
      </c>
      <c r="B32" s="43">
        <f>SUM(Monthly!B179:B190)</f>
        <v>794</v>
      </c>
      <c r="C32" s="44">
        <f>SUM(Monthly!C179:C190)</f>
        <v>65.209409999999991</v>
      </c>
      <c r="D32" s="44"/>
      <c r="E32" s="44"/>
      <c r="F32" s="44"/>
      <c r="G32" s="45" t="s">
        <v>8</v>
      </c>
    </row>
    <row r="33" spans="1:7" ht="13.2" x14ac:dyDescent="0.25">
      <c r="A33" s="47">
        <v>1999</v>
      </c>
      <c r="B33" s="32">
        <f>SUM(Monthly!B192:B203)</f>
        <v>1028</v>
      </c>
      <c r="C33" s="33">
        <f>SUM(Monthly!C192:C203)</f>
        <v>181.23062999999999</v>
      </c>
      <c r="D33" s="33"/>
      <c r="E33" s="33"/>
      <c r="F33" s="33"/>
      <c r="G33" s="34" t="s">
        <v>8</v>
      </c>
    </row>
    <row r="34" spans="1:7" ht="13.2" x14ac:dyDescent="0.25">
      <c r="A34" s="47">
        <v>2000</v>
      </c>
      <c r="B34" s="43">
        <f>SUM(Monthly!B205:B216)</f>
        <v>1137</v>
      </c>
      <c r="C34" s="44">
        <f>SUM(Monthly!C205:C216)</f>
        <v>166.08307000000002</v>
      </c>
      <c r="D34" s="44"/>
      <c r="E34" s="44"/>
      <c r="F34" s="44"/>
      <c r="G34" s="45" t="s">
        <v>8</v>
      </c>
    </row>
    <row r="35" spans="1:7" ht="13.2" x14ac:dyDescent="0.25">
      <c r="A35" s="47">
        <v>2001</v>
      </c>
      <c r="B35" s="32">
        <f>SUM(Monthly!B218:B229)</f>
        <v>1529</v>
      </c>
      <c r="C35" s="33">
        <f>SUM(Monthly!C218:C229)</f>
        <v>147.96970000000002</v>
      </c>
      <c r="D35" s="33"/>
      <c r="E35" s="33"/>
      <c r="F35" s="33"/>
      <c r="G35" s="34" t="s">
        <v>8</v>
      </c>
    </row>
    <row r="36" spans="1:7" ht="13.2" x14ac:dyDescent="0.25">
      <c r="A36" s="47">
        <v>2002</v>
      </c>
      <c r="B36" s="43">
        <f>SUM(Monthly!B231:B242)</f>
        <v>1359</v>
      </c>
      <c r="C36" s="44">
        <f>SUM(Monthly!C231:C242)</f>
        <v>131.57802000000001</v>
      </c>
      <c r="D36" s="44"/>
      <c r="E36" s="44"/>
      <c r="F36" s="44"/>
      <c r="G36" s="45" t="s">
        <v>8</v>
      </c>
    </row>
    <row r="37" spans="1:7" ht="13.2" x14ac:dyDescent="0.25">
      <c r="A37" s="47">
        <v>2003</v>
      </c>
      <c r="B37" s="32">
        <f>SUM(Monthly!B244:B255)</f>
        <v>1432</v>
      </c>
      <c r="C37" s="33">
        <f>SUM(Monthly!C244:C255)</f>
        <v>133.68040999999999</v>
      </c>
      <c r="D37" s="33"/>
      <c r="E37" s="33"/>
      <c r="F37" s="33"/>
      <c r="G37" s="34" t="s">
        <v>8</v>
      </c>
    </row>
    <row r="38" spans="1:7" ht="13.2" x14ac:dyDescent="0.25">
      <c r="A38" s="47">
        <v>2004</v>
      </c>
      <c r="B38" s="43">
        <f>SUM(Monthly!B257:B268)</f>
        <v>1700</v>
      </c>
      <c r="C38" s="44">
        <f>SUM(Monthly!C257:C268)</f>
        <v>175.51141999999999</v>
      </c>
      <c r="D38" s="44">
        <f ca="1">SUM(Monthly!D257:D268)</f>
        <v>139.5496597442997</v>
      </c>
      <c r="E38" s="44">
        <f ca="1">SUM(Monthly!E257:E268)</f>
        <v>93.415458481559213</v>
      </c>
      <c r="F38" s="44">
        <f ca="1">SUM(Monthly!F257:F268)</f>
        <v>18350.280205388917</v>
      </c>
      <c r="G38" s="45" t="s">
        <v>8</v>
      </c>
    </row>
    <row r="39" spans="1:7" ht="13.2" x14ac:dyDescent="0.25">
      <c r="A39" s="47">
        <v>2005</v>
      </c>
      <c r="B39" s="32">
        <f>SUM(Monthly!B270:B281)</f>
        <v>3134</v>
      </c>
      <c r="C39" s="33">
        <f>SUM(Monthly!C270:C281)</f>
        <v>355.27660000000003</v>
      </c>
      <c r="D39" s="33">
        <f ca="1">SUM(Monthly!D270:D281)</f>
        <v>288.06735571000002</v>
      </c>
      <c r="E39" s="33">
        <f ca="1">SUM(Monthly!E270:E281)</f>
        <v>196.6828983305</v>
      </c>
      <c r="F39" s="33">
        <f ca="1">SUM(Monthly!F270:F281)</f>
        <v>39520.491015630127</v>
      </c>
      <c r="G39" s="34" t="s">
        <v>8</v>
      </c>
    </row>
    <row r="40" spans="1:7" ht="13.2" x14ac:dyDescent="0.25">
      <c r="A40" s="47">
        <v>2006</v>
      </c>
      <c r="B40" s="43">
        <f>SUM(Monthly!B283:B294)</f>
        <v>4580</v>
      </c>
      <c r="C40" s="44">
        <f>SUM(Monthly!C283:C294)</f>
        <v>567.78719000000001</v>
      </c>
      <c r="D40" s="44">
        <f ca="1">SUM(Monthly!D283:D294)</f>
        <v>454.77865316029988</v>
      </c>
      <c r="E40" s="44">
        <f ca="1">SUM(Monthly!E283:E294)</f>
        <v>309.83881130899988</v>
      </c>
      <c r="F40" s="44">
        <f ca="1">SUM(Monthly!F283:F294)</f>
        <v>66457.543927075632</v>
      </c>
      <c r="G40" s="45" t="s">
        <v>8</v>
      </c>
    </row>
    <row r="41" spans="1:7" ht="13.2" x14ac:dyDescent="0.25">
      <c r="A41" s="47">
        <v>2007</v>
      </c>
      <c r="B41" s="32">
        <f>SUM(Monthly!B296:B307)</f>
        <v>5621</v>
      </c>
      <c r="C41" s="33">
        <f>SUM(Monthly!C296:C307)</f>
        <v>707.4683</v>
      </c>
      <c r="D41" s="33">
        <f ca="1">SUM(Monthly!D296:D307)</f>
        <v>517.89639324749999</v>
      </c>
      <c r="E41" s="33">
        <f ca="1">SUM(Monthly!E296:E307)</f>
        <v>354.1796278809997</v>
      </c>
      <c r="F41" s="33">
        <f ca="1">SUM(Monthly!F296:F307)</f>
        <v>83849.086550047781</v>
      </c>
      <c r="G41" s="34" t="s">
        <v>8</v>
      </c>
    </row>
    <row r="42" spans="1:7" ht="13.2" x14ac:dyDescent="0.25">
      <c r="A42" s="47">
        <v>2008</v>
      </c>
      <c r="B42" s="43">
        <f>SUM(Monthly!B309:B320)</f>
        <v>5350</v>
      </c>
      <c r="C42" s="44">
        <f>SUM(Monthly!C309:C320)</f>
        <v>424.08700000000005</v>
      </c>
      <c r="D42" s="44">
        <f ca="1">SUM(Monthly!D309:D320)</f>
        <v>285.33477221899977</v>
      </c>
      <c r="E42" s="44">
        <f ca="1">SUM(Monthly!E309:E320)</f>
        <v>226.43216348099978</v>
      </c>
      <c r="F42" s="44">
        <f ca="1">SUM(Monthly!F309:F320)</f>
        <v>44238.179882656201</v>
      </c>
      <c r="G42" s="45" t="s">
        <v>8</v>
      </c>
    </row>
    <row r="43" spans="1:7" ht="13.2" x14ac:dyDescent="0.25">
      <c r="A43" s="47">
        <v>2009</v>
      </c>
      <c r="B43" s="32">
        <f>SUM(Monthly!B322:B333)</f>
        <v>4282</v>
      </c>
      <c r="C43" s="33">
        <f>SUM(Monthly!C322:C333)</f>
        <v>345.07129999999995</v>
      </c>
      <c r="D43" s="33">
        <f ca="1">SUM(Monthly!D322:D333)</f>
        <v>245.9596560399998</v>
      </c>
      <c r="E43" s="33">
        <f ca="1">SUM(Monthly!E322:E333)</f>
        <v>219.86774085599987</v>
      </c>
      <c r="F43" s="33">
        <f ca="1">SUM(Monthly!F322:F333)</f>
        <v>31882.720030235756</v>
      </c>
      <c r="G43" s="34" t="s">
        <v>8</v>
      </c>
    </row>
    <row r="44" spans="1:7" ht="13.2" x14ac:dyDescent="0.25">
      <c r="A44" s="47">
        <v>2010</v>
      </c>
      <c r="B44" s="43">
        <f>SUM(Monthly!B335:B346)</f>
        <v>5641</v>
      </c>
      <c r="C44" s="44">
        <f>SUM(Monthly!C335:C346)</f>
        <v>411.32279999999997</v>
      </c>
      <c r="D44" s="44">
        <f ca="1">SUM(Monthly!D335:D346)</f>
        <v>308.60899802499961</v>
      </c>
      <c r="E44" s="44">
        <f ca="1">SUM(Monthly!E335:E346)</f>
        <v>265.57857343199964</v>
      </c>
      <c r="F44" s="44">
        <f ca="1">SUM(Monthly!F335:F346)</f>
        <v>35999.769040599684</v>
      </c>
      <c r="G44" s="45" t="s">
        <v>8</v>
      </c>
    </row>
    <row r="45" spans="1:7" ht="13.2" x14ac:dyDescent="0.25">
      <c r="A45" s="47">
        <v>2011</v>
      </c>
      <c r="B45" s="32">
        <f>SUM(Monthly!B348:B359)</f>
        <v>6265</v>
      </c>
      <c r="C45" s="33">
        <f>SUM(Monthly!C348:C359)</f>
        <v>431.91539999999992</v>
      </c>
      <c r="D45" s="33">
        <f ca="1">SUM(Monthly!D348:D359)</f>
        <v>311.47890782299976</v>
      </c>
      <c r="E45" s="33">
        <f ca="1">SUM(Monthly!E348:E359)</f>
        <v>269.45838019299964</v>
      </c>
      <c r="F45" s="33">
        <f ca="1">SUM(Monthly!F348:F359)</f>
        <v>34541.871831950819</v>
      </c>
      <c r="G45" s="34" t="s">
        <v>8</v>
      </c>
    </row>
    <row r="46" spans="1:7" ht="13.2" x14ac:dyDescent="0.25">
      <c r="A46" s="47">
        <v>2012</v>
      </c>
      <c r="B46" s="43">
        <f>SUM(Monthly!B361:B372)</f>
        <v>6106</v>
      </c>
      <c r="C46" s="44">
        <f>SUM(Monthly!C361:C372)</f>
        <v>374.83629999999999</v>
      </c>
      <c r="D46" s="44">
        <f ca="1">SUM(Monthly!D361:D372)</f>
        <v>291.16902093049981</v>
      </c>
      <c r="E46" s="44">
        <f ca="1">SUM(Monthly!E361:E372)</f>
        <v>236.11086149999988</v>
      </c>
      <c r="F46" s="44">
        <f ca="1">SUM(Monthly!F361:F372)</f>
        <v>30018.741471923429</v>
      </c>
      <c r="G46" s="45" t="s">
        <v>8</v>
      </c>
    </row>
    <row r="47" spans="1:7" ht="13.2" x14ac:dyDescent="0.25">
      <c r="A47" s="47">
        <v>2013</v>
      </c>
      <c r="B47" s="32">
        <f>SUM(Monthly!B374:B385)</f>
        <v>5920</v>
      </c>
      <c r="C47" s="33">
        <f>SUM(Monthly!C374:C385)</f>
        <v>356.79070000000002</v>
      </c>
      <c r="D47" s="33">
        <f ca="1">SUM(Monthly!D374:D385)</f>
        <v>268.63288451449966</v>
      </c>
      <c r="E47" s="33">
        <f ca="1">SUM(Monthly!E374:E385)</f>
        <v>228.30787441449985</v>
      </c>
      <c r="F47" s="33">
        <f ca="1">SUM(Monthly!F374:F385)</f>
        <v>34622.783937079526</v>
      </c>
      <c r="G47" s="34" t="s">
        <v>8</v>
      </c>
    </row>
    <row r="48" spans="1:7" ht="13.2" x14ac:dyDescent="0.25">
      <c r="A48" s="47">
        <v>2014</v>
      </c>
      <c r="B48" s="43">
        <f>SUM(Monthly!B387:B398)</f>
        <v>6422</v>
      </c>
      <c r="C48" s="44">
        <f>SUM(Monthly!C387:C398)</f>
        <v>494.74110000000002</v>
      </c>
      <c r="D48" s="44">
        <f ca="1">SUM(Monthly!D387:D398)</f>
        <v>374.39455218999962</v>
      </c>
      <c r="E48" s="44">
        <f ca="1">SUM(Monthly!E387:E398)</f>
        <v>301.44994520849991</v>
      </c>
      <c r="F48" s="44">
        <f ca="1">SUM(Monthly!F387:F398)</f>
        <v>52906.713931787133</v>
      </c>
      <c r="G48" s="45" t="s">
        <v>8</v>
      </c>
    </row>
    <row r="49" spans="1:7" ht="13.2" x14ac:dyDescent="0.25">
      <c r="A49" s="47">
        <v>2015</v>
      </c>
      <c r="B49" s="32">
        <f>SUM(Monthly!B400:B411)</f>
        <v>6599</v>
      </c>
      <c r="C49" s="33">
        <f>SUM(Monthly!C400:C411)</f>
        <v>564.33220000000006</v>
      </c>
      <c r="D49" s="33">
        <f ca="1">SUM(Monthly!D400:D411)</f>
        <v>512.10148917449953</v>
      </c>
      <c r="E49" s="33">
        <f ca="1">SUM(Monthly!E400:E411)</f>
        <v>370.49822945899967</v>
      </c>
      <c r="F49" s="33">
        <f ca="1">SUM(Monthly!F400:F411)</f>
        <v>68425.134410176383</v>
      </c>
      <c r="G49" s="34" t="s">
        <v>8</v>
      </c>
    </row>
    <row r="50" spans="1:7" ht="13.2" x14ac:dyDescent="0.25">
      <c r="A50" s="47">
        <v>2016</v>
      </c>
      <c r="B50" s="43">
        <f>SUM(Monthly!B413:B424)</f>
        <v>6155</v>
      </c>
      <c r="C50" s="44">
        <f>SUM(Monthly!C413:C424)</f>
        <v>457.01000000000005</v>
      </c>
      <c r="D50" s="44">
        <f ca="1">SUM(Monthly!D413:D424)</f>
        <v>414.94893559649989</v>
      </c>
      <c r="E50" s="44">
        <f ca="1">SUM(Monthly!E413:E424)</f>
        <v>342.06109602299983</v>
      </c>
      <c r="F50" s="44">
        <f ca="1">SUM(Monthly!F413:F424)</f>
        <v>49777.852317708705</v>
      </c>
      <c r="G50" s="45" t="s">
        <v>8</v>
      </c>
    </row>
    <row r="51" spans="1:7" ht="13.2" x14ac:dyDescent="0.25">
      <c r="A51" s="47">
        <v>2017</v>
      </c>
      <c r="B51" s="32">
        <f>SUM(Monthly!B426:B437)</f>
        <v>5379</v>
      </c>
      <c r="C51" s="33">
        <f>SUM(Monthly!C426:C437)</f>
        <v>477.12150000000003</v>
      </c>
      <c r="D51" s="33">
        <f ca="1">SUM(Monthly!D426:D437)</f>
        <v>422.27776711699988</v>
      </c>
      <c r="E51" s="33">
        <f ca="1">SUM(Monthly!E426:E437)</f>
        <v>369.15852047099986</v>
      </c>
      <c r="F51" s="33">
        <f ca="1">SUM(Monthly!F426:F437)</f>
        <v>53540.895873644644</v>
      </c>
      <c r="G51" s="34" t="s">
        <v>8</v>
      </c>
    </row>
    <row r="52" spans="1:7" ht="13.2" x14ac:dyDescent="0.25">
      <c r="A52" s="47">
        <v>2018</v>
      </c>
      <c r="B52" s="43">
        <f>SUM(Monthly!B439:B450)</f>
        <v>5362</v>
      </c>
      <c r="C52" s="44">
        <f>SUM(Monthly!C439:C450)</f>
        <v>437.9914</v>
      </c>
      <c r="D52" s="44">
        <f ca="1">SUM(Monthly!D439:D450)</f>
        <v>370.58041263399969</v>
      </c>
      <c r="E52" s="44">
        <f ca="1">SUM(Monthly!E439:E450)</f>
        <v>327.22942669299954</v>
      </c>
      <c r="F52" s="44">
        <f ca="1">SUM(Monthly!F439:F450)</f>
        <v>48269.187202799956</v>
      </c>
      <c r="G52" s="45" t="s">
        <v>8</v>
      </c>
    </row>
    <row r="53" spans="1:7" ht="13.2" x14ac:dyDescent="0.25">
      <c r="A53" s="47">
        <v>2019</v>
      </c>
      <c r="B53" s="32">
        <f>SUM(Monthly!B452:B463)</f>
        <v>4963</v>
      </c>
      <c r="C53" s="33">
        <f>SUM(Monthly!C452:C463)</f>
        <v>542.76929999999993</v>
      </c>
      <c r="D53" s="33">
        <f ca="1">SUM(Monthly!D452:D463)</f>
        <v>483.84812356799983</v>
      </c>
      <c r="E53" s="33">
        <f ca="1">SUM(Monthly!E452:E463)</f>
        <v>422.59176113049955</v>
      </c>
      <c r="F53" s="33">
        <f ca="1">SUM(Monthly!F452:F463)</f>
        <v>59341.67595694997</v>
      </c>
      <c r="G53" s="34" t="s">
        <v>8</v>
      </c>
    </row>
    <row r="54" spans="1:7" ht="13.2" x14ac:dyDescent="0.25">
      <c r="A54" s="47">
        <v>2020</v>
      </c>
      <c r="B54" s="40">
        <f>SUM(Monthly!B465:B476)</f>
        <v>4342</v>
      </c>
      <c r="C54" s="41">
        <f>SUM(Monthly!C465:C476)</f>
        <v>434.46459999999996</v>
      </c>
      <c r="D54" s="41">
        <f ca="1">SUM(Monthly!D465:D476)</f>
        <v>374.45801912149977</v>
      </c>
      <c r="E54" s="41">
        <f ca="1">SUM(Monthly!E465:E476)</f>
        <v>335.58351495029996</v>
      </c>
      <c r="F54" s="41">
        <f ca="1">SUM(Monthly!F465:F476)</f>
        <v>46095.143677549997</v>
      </c>
      <c r="G54" s="45" t="s">
        <v>8</v>
      </c>
    </row>
    <row r="55" spans="1:7" ht="13.2" x14ac:dyDescent="0.25">
      <c r="A55" s="47">
        <v>2021</v>
      </c>
      <c r="B55" s="35">
        <f>SUM(Monthly!B478:B489)</f>
        <v>5359</v>
      </c>
      <c r="C55" s="36">
        <f>SUM(Monthly!C478:C489)</f>
        <v>438.87290000000002</v>
      </c>
      <c r="D55" s="36">
        <f ca="1">SUM(Monthly!D478:D489)</f>
        <v>371.32247104649974</v>
      </c>
      <c r="E55" s="36">
        <f ca="1">SUM(Monthly!E478:E489)</f>
        <v>319.66342276899991</v>
      </c>
      <c r="F55" s="36">
        <f ca="1">SUM(Monthly!F478:F489)</f>
        <v>48181.541458599975</v>
      </c>
      <c r="G55" s="34" t="s">
        <v>8</v>
      </c>
    </row>
    <row r="56" spans="1:7" ht="13.2" x14ac:dyDescent="0.25">
      <c r="A56" s="47">
        <v>2022</v>
      </c>
      <c r="B56" s="40">
        <f>SUM(Monthly!B491:B502)</f>
        <v>4629</v>
      </c>
      <c r="C56" s="41">
        <f>SUM(Monthly!C491:C502)</f>
        <v>445.10740000000004</v>
      </c>
      <c r="D56" s="41">
        <f ca="1">SUM(Monthly!D491:D502)</f>
        <v>416.02514287649979</v>
      </c>
      <c r="E56" s="41">
        <f ca="1">SUM(Monthly!E491:E502)</f>
        <v>352.58726853199988</v>
      </c>
      <c r="F56" s="41">
        <f ca="1">SUM(Monthly!F491:F502)</f>
        <v>57014.191330749978</v>
      </c>
      <c r="G56" s="45" t="s">
        <v>8</v>
      </c>
    </row>
    <row r="57" spans="1:7" ht="13.2" x14ac:dyDescent="0.25">
      <c r="A57" s="48">
        <v>2023</v>
      </c>
      <c r="B57" s="37">
        <f>SUM(Monthly!B504:B515)</f>
        <v>3855</v>
      </c>
      <c r="C57" s="38">
        <f>SUM(Monthly!C504:C515)</f>
        <v>191.82849999999999</v>
      </c>
      <c r="D57" s="38">
        <f ca="1">SUM(Monthly!D504:D515)</f>
        <v>226.47005907499988</v>
      </c>
      <c r="E57" s="38">
        <f ca="1">SUM(Monthly!E504:E515)</f>
        <v>196.7536569278995</v>
      </c>
      <c r="F57" s="38">
        <f ca="1">SUM(Monthly!F504:F515)</f>
        <v>34560.22035209179</v>
      </c>
      <c r="G57" s="34" t="s">
        <v>8</v>
      </c>
    </row>
    <row r="58" spans="1:7" ht="13.2" x14ac:dyDescent="0.25">
      <c r="B58" s="2"/>
      <c r="C58" s="4"/>
      <c r="D58" s="4"/>
      <c r="E58" s="4"/>
      <c r="F58" s="4"/>
    </row>
    <row r="59" spans="1:7" ht="13.2" x14ac:dyDescent="0.25">
      <c r="C59" s="3"/>
      <c r="D59" s="3"/>
      <c r="E59" s="3"/>
      <c r="F59" s="3"/>
    </row>
    <row r="60" spans="1:7" ht="13.2" x14ac:dyDescent="0.25">
      <c r="C60" s="3"/>
      <c r="D60" s="3"/>
      <c r="E60" s="3"/>
      <c r="F60" s="3"/>
    </row>
    <row r="61" spans="1:7" ht="13.2" x14ac:dyDescent="0.25">
      <c r="D61" s="3"/>
      <c r="E61" s="3"/>
      <c r="F61" s="3"/>
    </row>
    <row r="62" spans="1:7" ht="13.2" x14ac:dyDescent="0.25">
      <c r="D62" s="3"/>
      <c r="E62" s="3"/>
      <c r="F62" s="3"/>
    </row>
    <row r="63" spans="1:7" ht="13.2" x14ac:dyDescent="0.25">
      <c r="D63" s="3"/>
      <c r="E63" s="3"/>
      <c r="F63" s="3"/>
    </row>
    <row r="64" spans="1:7" ht="13.2" x14ac:dyDescent="0.25">
      <c r="D64" s="3"/>
      <c r="E64" s="3"/>
      <c r="F64" s="3"/>
    </row>
    <row r="65" spans="3:6" ht="13.2" x14ac:dyDescent="0.25">
      <c r="D65" s="3"/>
      <c r="E65" s="3"/>
      <c r="F65" s="3"/>
    </row>
    <row r="66" spans="3:6" ht="13.2" x14ac:dyDescent="0.25">
      <c r="D66" s="3"/>
      <c r="E66" s="3"/>
      <c r="F66" s="3"/>
    </row>
    <row r="67" spans="3:6" ht="13.2" x14ac:dyDescent="0.25">
      <c r="D67" s="3"/>
      <c r="E67" s="3"/>
      <c r="F67" s="3"/>
    </row>
    <row r="68" spans="3:6" ht="13.2" x14ac:dyDescent="0.25">
      <c r="D68" s="3"/>
      <c r="E68" s="3"/>
      <c r="F68" s="3"/>
    </row>
    <row r="69" spans="3:6" ht="13.2" x14ac:dyDescent="0.25">
      <c r="D69" s="3"/>
      <c r="E69" s="3"/>
      <c r="F69" s="3"/>
    </row>
    <row r="70" spans="3:6" ht="13.2" x14ac:dyDescent="0.25">
      <c r="D70" s="3"/>
      <c r="E70" s="3"/>
      <c r="F70" s="3"/>
    </row>
    <row r="71" spans="3:6" ht="13.2" x14ac:dyDescent="0.25">
      <c r="D71" s="3"/>
      <c r="E71" s="3"/>
      <c r="F71" s="3"/>
    </row>
    <row r="72" spans="3:6" ht="13.2" x14ac:dyDescent="0.25">
      <c r="D72" s="3"/>
      <c r="E72" s="3"/>
      <c r="F72" s="3"/>
    </row>
    <row r="73" spans="3:6" ht="13.2" x14ac:dyDescent="0.25">
      <c r="D73" s="3"/>
      <c r="E73" s="3"/>
      <c r="F73" s="3"/>
    </row>
    <row r="74" spans="3:6" ht="13.2" x14ac:dyDescent="0.25">
      <c r="D74" s="3"/>
      <c r="E74" s="3"/>
      <c r="F74" s="3"/>
    </row>
    <row r="75" spans="3:6" ht="13.2" x14ac:dyDescent="0.25">
      <c r="D75" s="3"/>
      <c r="E75" s="3"/>
      <c r="F75" s="3"/>
    </row>
    <row r="76" spans="3:6" ht="13.2" x14ac:dyDescent="0.25">
      <c r="C76" s="3"/>
      <c r="D76" s="3"/>
      <c r="E76" s="3"/>
      <c r="F76" s="3"/>
    </row>
    <row r="77" spans="3:6" ht="13.2" x14ac:dyDescent="0.25">
      <c r="C77" s="3"/>
      <c r="D77" s="3"/>
      <c r="E77" s="3"/>
      <c r="F77" s="3"/>
    </row>
    <row r="78" spans="3:6" ht="13.2" x14ac:dyDescent="0.25">
      <c r="C78" s="3"/>
      <c r="D78" s="3"/>
      <c r="E78" s="3"/>
      <c r="F78" s="3"/>
    </row>
    <row r="79" spans="3:6" ht="13.2" x14ac:dyDescent="0.25">
      <c r="C79" s="3"/>
      <c r="D79" s="3"/>
      <c r="E79" s="3"/>
      <c r="F79" s="3"/>
    </row>
    <row r="80" spans="3:6" ht="13.2" x14ac:dyDescent="0.25">
      <c r="C80" s="3"/>
      <c r="D80" s="3"/>
      <c r="E80" s="3"/>
      <c r="F80" s="3"/>
    </row>
    <row r="81" spans="3:6" ht="13.2" x14ac:dyDescent="0.25">
      <c r="C81" s="3"/>
      <c r="D81" s="3"/>
      <c r="E81" s="3"/>
      <c r="F81" s="3"/>
    </row>
    <row r="82" spans="3:6" ht="13.2" x14ac:dyDescent="0.25">
      <c r="C82" s="3"/>
      <c r="D82" s="3"/>
      <c r="E82" s="3"/>
      <c r="F82" s="3"/>
    </row>
    <row r="83" spans="3:6" ht="13.2" x14ac:dyDescent="0.25">
      <c r="C83" s="3"/>
      <c r="D83" s="3"/>
      <c r="E83" s="3"/>
      <c r="F83" s="3"/>
    </row>
    <row r="84" spans="3:6" ht="13.2" x14ac:dyDescent="0.25">
      <c r="C84" s="3"/>
      <c r="D84" s="3"/>
      <c r="E84" s="3"/>
      <c r="F84" s="3"/>
    </row>
    <row r="85" spans="3:6" ht="13.2" x14ac:dyDescent="0.25">
      <c r="C85" s="3"/>
      <c r="D85" s="3"/>
      <c r="E85" s="3"/>
      <c r="F85" s="3"/>
    </row>
    <row r="86" spans="3:6" ht="13.2" x14ac:dyDescent="0.25">
      <c r="C86" s="3"/>
      <c r="D86" s="3"/>
      <c r="E86" s="3"/>
      <c r="F86" s="3"/>
    </row>
    <row r="87" spans="3:6" ht="13.2" x14ac:dyDescent="0.25">
      <c r="C87" s="3"/>
      <c r="D87" s="3"/>
      <c r="E87" s="3"/>
      <c r="F87" s="3"/>
    </row>
    <row r="88" spans="3:6" ht="13.2" x14ac:dyDescent="0.25">
      <c r="C88" s="3"/>
      <c r="D88" s="3"/>
      <c r="E88" s="3"/>
      <c r="F88" s="3"/>
    </row>
    <row r="89" spans="3:6" ht="13.2" x14ac:dyDescent="0.25">
      <c r="C89" s="3"/>
      <c r="D89" s="3"/>
      <c r="E89" s="3"/>
      <c r="F89" s="3"/>
    </row>
    <row r="90" spans="3:6" ht="13.2" x14ac:dyDescent="0.25">
      <c r="C90" s="3"/>
      <c r="D90" s="3"/>
      <c r="E90" s="3"/>
      <c r="F90" s="3"/>
    </row>
    <row r="91" spans="3:6" ht="13.2" x14ac:dyDescent="0.25">
      <c r="C91" s="3"/>
      <c r="D91" s="3"/>
      <c r="E91" s="3"/>
      <c r="F91" s="3"/>
    </row>
    <row r="92" spans="3:6" ht="13.2" x14ac:dyDescent="0.25">
      <c r="C92" s="3"/>
      <c r="D92" s="3"/>
      <c r="E92" s="3"/>
      <c r="F92" s="3"/>
    </row>
    <row r="93" spans="3:6" ht="13.2" x14ac:dyDescent="0.25">
      <c r="C93" s="3"/>
      <c r="D93" s="3"/>
      <c r="E93" s="3"/>
      <c r="F93" s="3"/>
    </row>
    <row r="94" spans="3:6" ht="13.2" x14ac:dyDescent="0.25">
      <c r="C94" s="3"/>
      <c r="D94" s="3"/>
      <c r="E94" s="3"/>
      <c r="F94" s="3"/>
    </row>
    <row r="95" spans="3:6" ht="13.2" x14ac:dyDescent="0.25">
      <c r="C95" s="3"/>
      <c r="D95" s="3"/>
      <c r="E95" s="3"/>
      <c r="F95" s="3"/>
    </row>
    <row r="96" spans="3:6" ht="13.2" x14ac:dyDescent="0.25">
      <c r="C96" s="3"/>
      <c r="D96" s="3"/>
      <c r="E96" s="3"/>
      <c r="F96" s="3"/>
    </row>
    <row r="97" spans="3:6" ht="13.2" x14ac:dyDescent="0.25">
      <c r="C97" s="3"/>
      <c r="D97" s="3"/>
      <c r="E97" s="3"/>
      <c r="F97" s="3"/>
    </row>
    <row r="98" spans="3:6" ht="13.2" x14ac:dyDescent="0.25">
      <c r="C98" s="3"/>
      <c r="D98" s="3"/>
      <c r="E98" s="3"/>
      <c r="F98" s="3"/>
    </row>
    <row r="99" spans="3:6" ht="13.2" x14ac:dyDescent="0.25">
      <c r="C99" s="3"/>
      <c r="D99" s="3"/>
      <c r="E99" s="3"/>
      <c r="F99" s="3"/>
    </row>
    <row r="100" spans="3:6" ht="13.2" x14ac:dyDescent="0.25">
      <c r="C100" s="3"/>
      <c r="D100" s="3"/>
      <c r="E100" s="3"/>
      <c r="F100" s="3"/>
    </row>
    <row r="101" spans="3:6" ht="13.2" x14ac:dyDescent="0.25">
      <c r="C101" s="3"/>
      <c r="D101" s="3"/>
      <c r="E101" s="3"/>
      <c r="F101" s="3"/>
    </row>
    <row r="102" spans="3:6" ht="13.2" x14ac:dyDescent="0.25">
      <c r="C102" s="3"/>
      <c r="D102" s="3"/>
      <c r="E102" s="3"/>
      <c r="F102" s="3"/>
    </row>
    <row r="103" spans="3:6" ht="13.2" x14ac:dyDescent="0.25">
      <c r="C103" s="3"/>
      <c r="D103" s="3"/>
      <c r="E103" s="3"/>
      <c r="F103" s="3"/>
    </row>
    <row r="104" spans="3:6" ht="13.2" x14ac:dyDescent="0.25">
      <c r="C104" s="3"/>
      <c r="D104" s="3"/>
      <c r="E104" s="3"/>
      <c r="F104" s="3"/>
    </row>
    <row r="105" spans="3:6" ht="13.2" x14ac:dyDescent="0.25">
      <c r="C105" s="3"/>
      <c r="D105" s="3"/>
      <c r="E105" s="3"/>
      <c r="F105" s="3"/>
    </row>
    <row r="106" spans="3:6" ht="13.2" x14ac:dyDescent="0.25">
      <c r="C106" s="3"/>
      <c r="D106" s="3"/>
      <c r="E106" s="3"/>
      <c r="F106" s="3"/>
    </row>
    <row r="107" spans="3:6" ht="13.2" x14ac:dyDescent="0.25">
      <c r="C107" s="3"/>
      <c r="D107" s="3"/>
      <c r="E107" s="3"/>
      <c r="F107" s="3"/>
    </row>
    <row r="108" spans="3:6" ht="13.2" x14ac:dyDescent="0.25">
      <c r="C108" s="3"/>
      <c r="D108" s="3"/>
      <c r="E108" s="3"/>
      <c r="F108" s="3"/>
    </row>
    <row r="109" spans="3:6" ht="13.2" x14ac:dyDescent="0.25">
      <c r="C109" s="3"/>
      <c r="D109" s="3"/>
      <c r="E109" s="3"/>
      <c r="F109" s="3"/>
    </row>
    <row r="110" spans="3:6" ht="13.2" x14ac:dyDescent="0.25">
      <c r="C110" s="3"/>
      <c r="D110" s="3"/>
      <c r="E110" s="3"/>
      <c r="F110" s="3"/>
    </row>
    <row r="111" spans="3:6" ht="13.2" x14ac:dyDescent="0.25">
      <c r="C111" s="3"/>
      <c r="D111" s="3"/>
      <c r="E111" s="3"/>
      <c r="F111" s="3"/>
    </row>
    <row r="112" spans="3:6" ht="13.2" x14ac:dyDescent="0.25">
      <c r="C112" s="3"/>
      <c r="D112" s="3"/>
      <c r="E112" s="3"/>
      <c r="F112" s="3"/>
    </row>
    <row r="113" spans="3:6" ht="13.2" x14ac:dyDescent="0.25">
      <c r="C113" s="3"/>
      <c r="D113" s="3"/>
      <c r="E113" s="3"/>
      <c r="F113" s="3"/>
    </row>
    <row r="114" spans="3:6" ht="13.2" x14ac:dyDescent="0.25">
      <c r="C114" s="3"/>
      <c r="D114" s="3"/>
      <c r="E114" s="3"/>
      <c r="F114" s="3"/>
    </row>
    <row r="115" spans="3:6" ht="13.2" x14ac:dyDescent="0.25">
      <c r="C115" s="3"/>
      <c r="D115" s="3"/>
      <c r="E115" s="3"/>
      <c r="F115" s="3"/>
    </row>
    <row r="116" spans="3:6" ht="13.2" x14ac:dyDescent="0.25">
      <c r="C116" s="3"/>
      <c r="D116" s="3"/>
      <c r="E116" s="3"/>
      <c r="F116" s="3"/>
    </row>
    <row r="117" spans="3:6" ht="13.2" x14ac:dyDescent="0.25">
      <c r="C117" s="3"/>
      <c r="D117" s="3"/>
      <c r="E117" s="3"/>
      <c r="F117" s="3"/>
    </row>
    <row r="118" spans="3:6" ht="13.2" x14ac:dyDescent="0.25">
      <c r="C118" s="3"/>
      <c r="D118" s="3"/>
      <c r="E118" s="3"/>
      <c r="F118" s="3"/>
    </row>
    <row r="119" spans="3:6" ht="13.2" x14ac:dyDescent="0.25">
      <c r="C119" s="3"/>
      <c r="D119" s="3"/>
      <c r="E119" s="3"/>
      <c r="F119" s="3"/>
    </row>
    <row r="120" spans="3:6" ht="13.2" x14ac:dyDescent="0.25">
      <c r="C120" s="3"/>
      <c r="D120" s="3"/>
      <c r="E120" s="3"/>
      <c r="F120" s="3"/>
    </row>
    <row r="121" spans="3:6" ht="13.2" x14ac:dyDescent="0.25">
      <c r="C121" s="3"/>
      <c r="D121" s="3"/>
      <c r="E121" s="3"/>
      <c r="F121" s="3"/>
    </row>
    <row r="122" spans="3:6" ht="13.2" x14ac:dyDescent="0.25">
      <c r="C122" s="3"/>
      <c r="D122" s="3"/>
      <c r="E122" s="3"/>
      <c r="F122" s="3"/>
    </row>
    <row r="123" spans="3:6" ht="13.2" x14ac:dyDescent="0.25">
      <c r="C123" s="3"/>
      <c r="D123" s="3"/>
      <c r="E123" s="3"/>
      <c r="F123" s="3"/>
    </row>
    <row r="124" spans="3:6" ht="13.2" x14ac:dyDescent="0.25">
      <c r="C124" s="3"/>
      <c r="D124" s="3"/>
      <c r="E124" s="3"/>
      <c r="F124" s="3"/>
    </row>
    <row r="125" spans="3:6" ht="13.2" x14ac:dyDescent="0.25">
      <c r="C125" s="3"/>
      <c r="D125" s="3"/>
      <c r="E125" s="3"/>
      <c r="F125" s="3"/>
    </row>
    <row r="126" spans="3:6" ht="13.2" x14ac:dyDescent="0.25">
      <c r="C126" s="3"/>
      <c r="D126" s="3"/>
      <c r="E126" s="3"/>
      <c r="F126" s="3"/>
    </row>
    <row r="127" spans="3:6" ht="13.2" x14ac:dyDescent="0.25">
      <c r="C127" s="3"/>
      <c r="D127" s="3"/>
      <c r="E127" s="3"/>
      <c r="F127" s="3"/>
    </row>
    <row r="128" spans="3:6" ht="13.2" x14ac:dyDescent="0.25">
      <c r="C128" s="3"/>
      <c r="D128" s="3"/>
      <c r="E128" s="3"/>
      <c r="F128" s="3"/>
    </row>
    <row r="129" spans="3:6" ht="13.2" x14ac:dyDescent="0.25">
      <c r="C129" s="3"/>
      <c r="D129" s="3"/>
      <c r="E129" s="3"/>
      <c r="F129" s="3"/>
    </row>
    <row r="130" spans="3:6" ht="13.2" x14ac:dyDescent="0.25">
      <c r="C130" s="3"/>
      <c r="D130" s="3"/>
      <c r="E130" s="3"/>
      <c r="F130" s="3"/>
    </row>
    <row r="131" spans="3:6" ht="13.2" x14ac:dyDescent="0.25">
      <c r="C131" s="3"/>
      <c r="D131" s="3"/>
      <c r="E131" s="3"/>
      <c r="F131" s="3"/>
    </row>
    <row r="132" spans="3:6" ht="13.2" x14ac:dyDescent="0.25">
      <c r="C132" s="3"/>
      <c r="D132" s="3"/>
      <c r="E132" s="3"/>
      <c r="F132" s="3"/>
    </row>
    <row r="133" spans="3:6" ht="13.2" x14ac:dyDescent="0.25">
      <c r="C133" s="3"/>
      <c r="D133" s="3"/>
      <c r="E133" s="3"/>
      <c r="F133" s="3"/>
    </row>
    <row r="134" spans="3:6" ht="13.2" x14ac:dyDescent="0.25">
      <c r="C134" s="3"/>
      <c r="D134" s="3"/>
      <c r="E134" s="3"/>
      <c r="F134" s="3"/>
    </row>
    <row r="135" spans="3:6" ht="13.2" x14ac:dyDescent="0.25">
      <c r="C135" s="3"/>
      <c r="D135" s="3"/>
      <c r="E135" s="3"/>
      <c r="F135" s="3"/>
    </row>
    <row r="136" spans="3:6" ht="13.2" x14ac:dyDescent="0.25">
      <c r="C136" s="3"/>
      <c r="D136" s="3"/>
      <c r="E136" s="3"/>
      <c r="F136" s="3"/>
    </row>
    <row r="137" spans="3:6" ht="13.2" x14ac:dyDescent="0.25">
      <c r="C137" s="3"/>
      <c r="D137" s="3"/>
      <c r="E137" s="3"/>
      <c r="F137" s="3"/>
    </row>
    <row r="138" spans="3:6" ht="13.2" x14ac:dyDescent="0.25">
      <c r="C138" s="3"/>
      <c r="D138" s="3"/>
      <c r="E138" s="3"/>
      <c r="F138" s="3"/>
    </row>
    <row r="139" spans="3:6" ht="13.2" x14ac:dyDescent="0.25">
      <c r="C139" s="3"/>
      <c r="D139" s="3"/>
      <c r="E139" s="3"/>
      <c r="F139" s="3"/>
    </row>
    <row r="140" spans="3:6" ht="13.2" x14ac:dyDescent="0.25">
      <c r="C140" s="3"/>
      <c r="D140" s="3"/>
      <c r="E140" s="3"/>
      <c r="F140" s="3"/>
    </row>
    <row r="141" spans="3:6" ht="13.2" x14ac:dyDescent="0.25">
      <c r="C141" s="3"/>
      <c r="D141" s="3"/>
      <c r="E141" s="3"/>
      <c r="F141" s="3"/>
    </row>
    <row r="142" spans="3:6" ht="13.2" x14ac:dyDescent="0.25">
      <c r="C142" s="3"/>
      <c r="D142" s="3"/>
      <c r="E142" s="3"/>
      <c r="F142" s="3"/>
    </row>
    <row r="143" spans="3:6" ht="13.2" x14ac:dyDescent="0.25">
      <c r="C143" s="3"/>
      <c r="D143" s="3"/>
      <c r="E143" s="3"/>
      <c r="F143" s="3"/>
    </row>
    <row r="144" spans="3:6" ht="13.2" x14ac:dyDescent="0.25">
      <c r="C144" s="3"/>
      <c r="D144" s="3"/>
      <c r="E144" s="3"/>
      <c r="F144" s="3"/>
    </row>
    <row r="145" spans="3:6" ht="13.2" x14ac:dyDescent="0.25">
      <c r="C145" s="3"/>
      <c r="D145" s="3"/>
      <c r="E145" s="3"/>
      <c r="F145" s="3"/>
    </row>
    <row r="146" spans="3:6" ht="13.2" x14ac:dyDescent="0.25">
      <c r="C146" s="3"/>
      <c r="D146" s="3"/>
      <c r="E146" s="3"/>
      <c r="F146" s="3"/>
    </row>
    <row r="147" spans="3:6" ht="13.2" x14ac:dyDescent="0.25">
      <c r="C147" s="3"/>
      <c r="D147" s="3"/>
      <c r="E147" s="3"/>
      <c r="F147" s="3"/>
    </row>
    <row r="148" spans="3:6" ht="13.2" x14ac:dyDescent="0.25">
      <c r="C148" s="3"/>
      <c r="D148" s="3"/>
      <c r="E148" s="3"/>
      <c r="F148" s="3"/>
    </row>
    <row r="149" spans="3:6" ht="13.2" x14ac:dyDescent="0.25">
      <c r="C149" s="3"/>
      <c r="D149" s="3"/>
      <c r="E149" s="3"/>
      <c r="F149" s="3"/>
    </row>
    <row r="150" spans="3:6" ht="13.2" x14ac:dyDescent="0.25">
      <c r="C150" s="3"/>
      <c r="D150" s="3"/>
      <c r="E150" s="3"/>
      <c r="F150" s="3"/>
    </row>
    <row r="151" spans="3:6" ht="13.2" x14ac:dyDescent="0.25">
      <c r="C151" s="3"/>
      <c r="D151" s="3"/>
      <c r="E151" s="3"/>
      <c r="F151" s="3"/>
    </row>
    <row r="152" spans="3:6" ht="13.2" x14ac:dyDescent="0.25">
      <c r="C152" s="3"/>
      <c r="D152" s="3"/>
      <c r="E152" s="3"/>
      <c r="F152" s="3"/>
    </row>
    <row r="153" spans="3:6" ht="13.2" x14ac:dyDescent="0.25">
      <c r="C153" s="3"/>
      <c r="D153" s="3"/>
      <c r="E153" s="3"/>
      <c r="F153" s="3"/>
    </row>
    <row r="154" spans="3:6" ht="13.2" x14ac:dyDescent="0.25">
      <c r="C154" s="3"/>
      <c r="D154" s="3"/>
      <c r="E154" s="3"/>
      <c r="F154" s="3"/>
    </row>
    <row r="155" spans="3:6" ht="13.2" x14ac:dyDescent="0.25">
      <c r="C155" s="3"/>
      <c r="D155" s="3"/>
      <c r="E155" s="3"/>
      <c r="F155" s="3"/>
    </row>
    <row r="156" spans="3:6" ht="13.2" x14ac:dyDescent="0.25">
      <c r="C156" s="3"/>
      <c r="D156" s="3"/>
      <c r="E156" s="3"/>
      <c r="F156" s="3"/>
    </row>
    <row r="157" spans="3:6" ht="13.2" x14ac:dyDescent="0.25">
      <c r="C157" s="3"/>
      <c r="D157" s="3"/>
      <c r="E157" s="3"/>
      <c r="F157" s="3"/>
    </row>
    <row r="158" spans="3:6" ht="13.2" x14ac:dyDescent="0.25">
      <c r="C158" s="3"/>
      <c r="D158" s="3"/>
      <c r="E158" s="3"/>
      <c r="F158" s="3"/>
    </row>
    <row r="159" spans="3:6" ht="13.2" x14ac:dyDescent="0.25">
      <c r="C159" s="3"/>
      <c r="D159" s="3"/>
      <c r="E159" s="3"/>
      <c r="F159" s="3"/>
    </row>
    <row r="160" spans="3:6" ht="13.2" x14ac:dyDescent="0.25">
      <c r="C160" s="3"/>
      <c r="D160" s="3"/>
      <c r="E160" s="3"/>
      <c r="F160" s="3"/>
    </row>
    <row r="161" spans="3:6" ht="13.2" x14ac:dyDescent="0.25">
      <c r="C161" s="3"/>
      <c r="D161" s="3"/>
      <c r="E161" s="3"/>
      <c r="F161" s="3"/>
    </row>
    <row r="162" spans="3:6" ht="13.2" x14ac:dyDescent="0.25">
      <c r="C162" s="3"/>
      <c r="D162" s="3"/>
      <c r="E162" s="3"/>
      <c r="F162" s="3"/>
    </row>
    <row r="163" spans="3:6" ht="13.2" x14ac:dyDescent="0.25">
      <c r="C163" s="3"/>
      <c r="D163" s="3"/>
      <c r="E163" s="3"/>
      <c r="F163" s="3"/>
    </row>
    <row r="164" spans="3:6" ht="13.2" x14ac:dyDescent="0.25">
      <c r="C164" s="3"/>
      <c r="D164" s="3"/>
      <c r="E164" s="3"/>
      <c r="F164" s="3"/>
    </row>
    <row r="165" spans="3:6" ht="13.2" x14ac:dyDescent="0.25">
      <c r="C165" s="3"/>
      <c r="D165" s="3"/>
      <c r="E165" s="3"/>
      <c r="F165" s="3"/>
    </row>
    <row r="166" spans="3:6" ht="13.2" x14ac:dyDescent="0.25">
      <c r="C166" s="3"/>
      <c r="D166" s="3"/>
      <c r="E166" s="3"/>
      <c r="F166" s="3"/>
    </row>
    <row r="167" spans="3:6" ht="13.2" x14ac:dyDescent="0.25">
      <c r="C167" s="3"/>
      <c r="D167" s="3"/>
      <c r="E167" s="3"/>
      <c r="F167" s="3"/>
    </row>
    <row r="168" spans="3:6" ht="13.2" x14ac:dyDescent="0.25">
      <c r="C168" s="3"/>
      <c r="D168" s="3"/>
      <c r="E168" s="3"/>
      <c r="F168" s="3"/>
    </row>
    <row r="169" spans="3:6" ht="13.2" x14ac:dyDescent="0.25">
      <c r="C169" s="3"/>
      <c r="D169" s="3"/>
      <c r="E169" s="3"/>
      <c r="F169" s="3"/>
    </row>
    <row r="170" spans="3:6" ht="13.2" x14ac:dyDescent="0.25">
      <c r="C170" s="3"/>
      <c r="D170" s="3"/>
      <c r="E170" s="3"/>
      <c r="F170" s="3"/>
    </row>
    <row r="171" spans="3:6" ht="13.2" x14ac:dyDescent="0.25">
      <c r="C171" s="3"/>
      <c r="D171" s="3"/>
      <c r="E171" s="3"/>
      <c r="F171" s="3"/>
    </row>
    <row r="172" spans="3:6" ht="13.2" x14ac:dyDescent="0.25">
      <c r="C172" s="3"/>
      <c r="D172" s="3"/>
      <c r="E172" s="3"/>
      <c r="F172" s="3"/>
    </row>
    <row r="173" spans="3:6" ht="13.2" x14ac:dyDescent="0.25">
      <c r="C173" s="3"/>
      <c r="D173" s="3"/>
      <c r="E173" s="3"/>
      <c r="F173" s="3"/>
    </row>
    <row r="174" spans="3:6" ht="13.2" x14ac:dyDescent="0.25">
      <c r="C174" s="3"/>
      <c r="D174" s="3"/>
      <c r="E174" s="3"/>
      <c r="F174" s="3"/>
    </row>
    <row r="175" spans="3:6" ht="13.2" x14ac:dyDescent="0.25">
      <c r="C175" s="3"/>
      <c r="D175" s="3"/>
      <c r="E175" s="3"/>
      <c r="F175" s="3"/>
    </row>
    <row r="176" spans="3:6" ht="13.2" x14ac:dyDescent="0.25">
      <c r="C176" s="3"/>
      <c r="D176" s="3"/>
      <c r="E176" s="3"/>
      <c r="F176" s="3"/>
    </row>
    <row r="177" spans="3:6" ht="13.2" x14ac:dyDescent="0.25">
      <c r="C177" s="3"/>
      <c r="D177" s="3"/>
      <c r="E177" s="3"/>
      <c r="F177" s="3"/>
    </row>
    <row r="178" spans="3:6" ht="13.2" x14ac:dyDescent="0.25">
      <c r="C178" s="3"/>
      <c r="D178" s="3"/>
      <c r="E178" s="3"/>
      <c r="F178" s="3"/>
    </row>
    <row r="179" spans="3:6" ht="13.2" x14ac:dyDescent="0.25">
      <c r="C179" s="3"/>
      <c r="D179" s="3"/>
      <c r="E179" s="3"/>
      <c r="F179" s="3"/>
    </row>
    <row r="180" spans="3:6" ht="13.2" x14ac:dyDescent="0.25">
      <c r="C180" s="3"/>
      <c r="D180" s="3"/>
      <c r="E180" s="3"/>
      <c r="F180" s="3"/>
    </row>
    <row r="181" spans="3:6" ht="13.2" x14ac:dyDescent="0.25">
      <c r="C181" s="3"/>
      <c r="D181" s="3"/>
      <c r="E181" s="3"/>
      <c r="F181" s="3"/>
    </row>
    <row r="182" spans="3:6" ht="13.2" x14ac:dyDescent="0.25">
      <c r="C182" s="3"/>
      <c r="D182" s="3"/>
      <c r="E182" s="3"/>
      <c r="F182" s="3"/>
    </row>
    <row r="183" spans="3:6" ht="13.2" x14ac:dyDescent="0.25">
      <c r="C183" s="3"/>
      <c r="D183" s="3"/>
      <c r="E183" s="3"/>
      <c r="F183" s="3"/>
    </row>
    <row r="184" spans="3:6" ht="13.2" x14ac:dyDescent="0.25">
      <c r="C184" s="3"/>
      <c r="D184" s="3"/>
      <c r="E184" s="3"/>
      <c r="F184" s="3"/>
    </row>
    <row r="185" spans="3:6" ht="13.2" x14ac:dyDescent="0.25">
      <c r="C185" s="3"/>
      <c r="D185" s="3"/>
      <c r="E185" s="3"/>
      <c r="F185" s="3"/>
    </row>
    <row r="186" spans="3:6" ht="13.2" x14ac:dyDescent="0.25">
      <c r="C186" s="3"/>
      <c r="D186" s="3"/>
      <c r="E186" s="3"/>
      <c r="F186" s="3"/>
    </row>
    <row r="187" spans="3:6" ht="13.2" x14ac:dyDescent="0.25">
      <c r="C187" s="3"/>
      <c r="D187" s="3"/>
      <c r="E187" s="3"/>
      <c r="F187" s="3"/>
    </row>
    <row r="188" spans="3:6" ht="13.2" x14ac:dyDescent="0.25">
      <c r="C188" s="3"/>
      <c r="D188" s="3"/>
      <c r="E188" s="3"/>
      <c r="F188" s="3"/>
    </row>
    <row r="189" spans="3:6" ht="13.2" x14ac:dyDescent="0.25">
      <c r="C189" s="3"/>
      <c r="D189" s="3"/>
      <c r="E189" s="3"/>
      <c r="F189" s="3"/>
    </row>
    <row r="190" spans="3:6" ht="13.2" x14ac:dyDescent="0.25">
      <c r="C190" s="3"/>
      <c r="D190" s="3"/>
      <c r="E190" s="3"/>
      <c r="F190" s="3"/>
    </row>
    <row r="191" spans="3:6" ht="13.2" x14ac:dyDescent="0.25">
      <c r="C191" s="3"/>
      <c r="D191" s="3"/>
      <c r="E191" s="3"/>
      <c r="F191" s="3"/>
    </row>
    <row r="192" spans="3:6" ht="13.2" x14ac:dyDescent="0.25">
      <c r="C192" s="3"/>
      <c r="D192" s="3"/>
      <c r="E192" s="3"/>
      <c r="F192" s="3"/>
    </row>
    <row r="193" spans="3:6" ht="13.2" x14ac:dyDescent="0.25">
      <c r="C193" s="3"/>
      <c r="D193" s="3"/>
      <c r="E193" s="3"/>
      <c r="F193" s="3"/>
    </row>
    <row r="194" spans="3:6" ht="13.2" x14ac:dyDescent="0.25">
      <c r="C194" s="3"/>
      <c r="D194" s="3"/>
      <c r="E194" s="3"/>
      <c r="F194" s="3"/>
    </row>
    <row r="195" spans="3:6" ht="13.2" x14ac:dyDescent="0.25">
      <c r="C195" s="3"/>
      <c r="D195" s="3"/>
      <c r="E195" s="3"/>
      <c r="F195" s="3"/>
    </row>
    <row r="196" spans="3:6" ht="13.2" x14ac:dyDescent="0.25">
      <c r="C196" s="3"/>
      <c r="D196" s="3"/>
      <c r="E196" s="3"/>
      <c r="F196" s="3"/>
    </row>
    <row r="197" spans="3:6" ht="13.2" x14ac:dyDescent="0.25">
      <c r="C197" s="3"/>
      <c r="D197" s="3"/>
      <c r="E197" s="3"/>
      <c r="F197" s="3"/>
    </row>
    <row r="198" spans="3:6" ht="13.2" x14ac:dyDescent="0.25">
      <c r="C198" s="3"/>
      <c r="D198" s="3"/>
      <c r="E198" s="3"/>
      <c r="F198" s="3"/>
    </row>
    <row r="199" spans="3:6" ht="13.2" x14ac:dyDescent="0.25">
      <c r="C199" s="3"/>
      <c r="D199" s="3"/>
      <c r="E199" s="3"/>
      <c r="F199" s="3"/>
    </row>
    <row r="200" spans="3:6" ht="13.2" x14ac:dyDescent="0.25">
      <c r="C200" s="3"/>
      <c r="D200" s="3"/>
      <c r="E200" s="3"/>
      <c r="F200" s="3"/>
    </row>
    <row r="201" spans="3:6" ht="13.2" x14ac:dyDescent="0.25">
      <c r="C201" s="3"/>
      <c r="D201" s="3"/>
      <c r="E201" s="3"/>
      <c r="F201" s="3"/>
    </row>
    <row r="202" spans="3:6" ht="13.2" x14ac:dyDescent="0.25">
      <c r="C202" s="3"/>
      <c r="D202" s="3"/>
      <c r="E202" s="3"/>
      <c r="F202" s="3"/>
    </row>
    <row r="203" spans="3:6" ht="13.2" x14ac:dyDescent="0.25">
      <c r="C203" s="3"/>
      <c r="D203" s="3"/>
      <c r="E203" s="3"/>
      <c r="F203" s="3"/>
    </row>
    <row r="204" spans="3:6" ht="13.2" x14ac:dyDescent="0.25">
      <c r="C204" s="3"/>
      <c r="D204" s="3"/>
      <c r="E204" s="3"/>
      <c r="F204" s="3"/>
    </row>
    <row r="205" spans="3:6" ht="13.2" x14ac:dyDescent="0.25">
      <c r="C205" s="3"/>
      <c r="D205" s="3"/>
      <c r="E205" s="3"/>
      <c r="F205" s="3"/>
    </row>
    <row r="206" spans="3:6" ht="13.2" x14ac:dyDescent="0.25">
      <c r="C206" s="3"/>
      <c r="D206" s="3"/>
      <c r="E206" s="3"/>
      <c r="F206" s="3"/>
    </row>
    <row r="207" spans="3:6" ht="13.2" x14ac:dyDescent="0.25">
      <c r="C207" s="3"/>
      <c r="D207" s="3"/>
      <c r="E207" s="3"/>
      <c r="F207" s="3"/>
    </row>
    <row r="208" spans="3:6" ht="13.2" x14ac:dyDescent="0.25">
      <c r="C208" s="3"/>
      <c r="D208" s="3"/>
      <c r="E208" s="3"/>
      <c r="F208" s="3"/>
    </row>
    <row r="209" spans="3:6" ht="13.2" x14ac:dyDescent="0.25">
      <c r="C209" s="3"/>
      <c r="D209" s="3"/>
      <c r="E209" s="3"/>
      <c r="F209" s="3"/>
    </row>
    <row r="210" spans="3:6" ht="13.2" x14ac:dyDescent="0.25">
      <c r="C210" s="3"/>
      <c r="D210" s="3"/>
      <c r="E210" s="3"/>
      <c r="F210" s="3"/>
    </row>
    <row r="211" spans="3:6" ht="13.2" x14ac:dyDescent="0.25">
      <c r="C211" s="3"/>
      <c r="D211" s="3"/>
      <c r="E211" s="3"/>
      <c r="F211" s="3"/>
    </row>
    <row r="212" spans="3:6" ht="13.2" x14ac:dyDescent="0.25">
      <c r="C212" s="3"/>
      <c r="D212" s="3"/>
      <c r="E212" s="3"/>
      <c r="F212" s="3"/>
    </row>
    <row r="213" spans="3:6" ht="13.2" x14ac:dyDescent="0.25">
      <c r="C213" s="3"/>
      <c r="D213" s="3"/>
      <c r="E213" s="3"/>
      <c r="F213" s="3"/>
    </row>
    <row r="214" spans="3:6" ht="13.2" x14ac:dyDescent="0.25">
      <c r="C214" s="3"/>
      <c r="D214" s="3"/>
      <c r="E214" s="3"/>
      <c r="F214" s="3"/>
    </row>
    <row r="215" spans="3:6" ht="13.2" x14ac:dyDescent="0.25">
      <c r="C215" s="3"/>
      <c r="D215" s="3"/>
      <c r="E215" s="3"/>
      <c r="F215" s="3"/>
    </row>
    <row r="216" spans="3:6" ht="13.2" x14ac:dyDescent="0.25">
      <c r="C216" s="3"/>
      <c r="D216" s="3"/>
      <c r="E216" s="3"/>
      <c r="F216" s="3"/>
    </row>
    <row r="217" spans="3:6" ht="13.2" x14ac:dyDescent="0.25">
      <c r="C217" s="3"/>
      <c r="D217" s="3"/>
      <c r="E217" s="3"/>
      <c r="F217" s="3"/>
    </row>
    <row r="218" spans="3:6" ht="13.2" x14ac:dyDescent="0.25">
      <c r="C218" s="3"/>
      <c r="D218" s="3"/>
      <c r="E218" s="3"/>
      <c r="F218" s="3"/>
    </row>
    <row r="219" spans="3:6" ht="13.2" x14ac:dyDescent="0.25">
      <c r="C219" s="3"/>
      <c r="D219" s="3"/>
      <c r="E219" s="3"/>
      <c r="F219" s="3"/>
    </row>
    <row r="220" spans="3:6" ht="13.2" x14ac:dyDescent="0.25">
      <c r="C220" s="3"/>
      <c r="D220" s="3"/>
      <c r="E220" s="3"/>
      <c r="F220" s="3"/>
    </row>
    <row r="221" spans="3:6" ht="13.2" x14ac:dyDescent="0.25">
      <c r="C221" s="3"/>
      <c r="D221" s="3"/>
      <c r="E221" s="3"/>
      <c r="F221" s="3"/>
    </row>
    <row r="222" spans="3:6" ht="13.2" x14ac:dyDescent="0.25">
      <c r="C222" s="3"/>
      <c r="D222" s="3"/>
      <c r="E222" s="3"/>
      <c r="F222" s="3"/>
    </row>
    <row r="223" spans="3:6" ht="13.2" x14ac:dyDescent="0.25">
      <c r="C223" s="3"/>
      <c r="D223" s="3"/>
      <c r="E223" s="3"/>
      <c r="F223" s="3"/>
    </row>
    <row r="224" spans="3:6" ht="13.2" x14ac:dyDescent="0.25">
      <c r="C224" s="3"/>
      <c r="D224" s="3"/>
      <c r="E224" s="3"/>
      <c r="F224" s="3"/>
    </row>
    <row r="225" spans="3:6" ht="13.2" x14ac:dyDescent="0.25">
      <c r="C225" s="3"/>
      <c r="D225" s="3"/>
      <c r="E225" s="3"/>
      <c r="F225" s="3"/>
    </row>
    <row r="226" spans="3:6" ht="13.2" x14ac:dyDescent="0.25">
      <c r="C226" s="3"/>
      <c r="D226" s="3"/>
      <c r="E226" s="3"/>
      <c r="F226" s="3"/>
    </row>
    <row r="227" spans="3:6" ht="13.2" x14ac:dyDescent="0.25">
      <c r="C227" s="3"/>
      <c r="D227" s="3"/>
      <c r="E227" s="3"/>
      <c r="F227" s="3"/>
    </row>
    <row r="228" spans="3:6" ht="13.2" x14ac:dyDescent="0.25">
      <c r="C228" s="3"/>
      <c r="D228" s="3"/>
      <c r="E228" s="3"/>
      <c r="F228" s="3"/>
    </row>
    <row r="229" spans="3:6" ht="13.2" x14ac:dyDescent="0.25">
      <c r="C229" s="3"/>
      <c r="D229" s="3"/>
      <c r="E229" s="3"/>
      <c r="F229" s="3"/>
    </row>
    <row r="230" spans="3:6" ht="13.2" x14ac:dyDescent="0.25">
      <c r="C230" s="3"/>
      <c r="D230" s="3"/>
      <c r="E230" s="3"/>
      <c r="F230" s="3"/>
    </row>
    <row r="231" spans="3:6" ht="13.2" x14ac:dyDescent="0.25">
      <c r="C231" s="3"/>
      <c r="D231" s="3"/>
      <c r="E231" s="3"/>
      <c r="F231" s="3"/>
    </row>
    <row r="232" spans="3:6" ht="13.2" x14ac:dyDescent="0.25">
      <c r="C232" s="3"/>
      <c r="D232" s="3"/>
      <c r="E232" s="3"/>
      <c r="F232" s="3"/>
    </row>
    <row r="233" spans="3:6" ht="13.2" x14ac:dyDescent="0.25">
      <c r="C233" s="3"/>
      <c r="D233" s="3"/>
      <c r="E233" s="3"/>
      <c r="F233" s="3"/>
    </row>
    <row r="234" spans="3:6" ht="13.2" x14ac:dyDescent="0.25">
      <c r="C234" s="3"/>
      <c r="D234" s="3"/>
      <c r="E234" s="3"/>
      <c r="F234" s="3"/>
    </row>
    <row r="235" spans="3:6" ht="13.2" x14ac:dyDescent="0.25">
      <c r="C235" s="3"/>
      <c r="D235" s="3"/>
      <c r="E235" s="3"/>
      <c r="F235" s="3"/>
    </row>
    <row r="236" spans="3:6" ht="13.2" x14ac:dyDescent="0.25">
      <c r="C236" s="3"/>
      <c r="D236" s="3"/>
      <c r="E236" s="3"/>
      <c r="F236" s="3"/>
    </row>
    <row r="237" spans="3:6" ht="13.2" x14ac:dyDescent="0.25">
      <c r="C237" s="3"/>
      <c r="D237" s="3"/>
      <c r="E237" s="3"/>
      <c r="F237" s="3"/>
    </row>
    <row r="238" spans="3:6" ht="13.2" x14ac:dyDescent="0.25">
      <c r="C238" s="3"/>
      <c r="D238" s="3"/>
      <c r="E238" s="3"/>
      <c r="F238" s="3"/>
    </row>
    <row r="239" spans="3:6" ht="13.2" x14ac:dyDescent="0.25">
      <c r="C239" s="3"/>
      <c r="D239" s="3"/>
      <c r="E239" s="3"/>
      <c r="F239" s="3"/>
    </row>
    <row r="240" spans="3:6" ht="13.2" x14ac:dyDescent="0.25">
      <c r="C240" s="3"/>
      <c r="D240" s="3"/>
      <c r="E240" s="3"/>
      <c r="F240" s="3"/>
    </row>
    <row r="241" spans="3:6" ht="13.2" x14ac:dyDescent="0.25">
      <c r="C241" s="3"/>
      <c r="D241" s="3"/>
      <c r="E241" s="3"/>
      <c r="F241" s="3"/>
    </row>
    <row r="242" spans="3:6" ht="13.2" x14ac:dyDescent="0.25">
      <c r="C242" s="3"/>
      <c r="D242" s="3"/>
      <c r="E242" s="3"/>
      <c r="F242" s="3"/>
    </row>
    <row r="243" spans="3:6" ht="13.2" x14ac:dyDescent="0.25">
      <c r="C243" s="3"/>
      <c r="D243" s="3"/>
      <c r="E243" s="3"/>
      <c r="F243" s="3"/>
    </row>
    <row r="244" spans="3:6" ht="13.2" x14ac:dyDescent="0.25">
      <c r="C244" s="3"/>
      <c r="D244" s="3"/>
      <c r="E244" s="3"/>
      <c r="F244" s="3"/>
    </row>
    <row r="245" spans="3:6" ht="13.2" x14ac:dyDescent="0.25">
      <c r="C245" s="3"/>
      <c r="D245" s="3"/>
      <c r="E245" s="3"/>
      <c r="F245" s="3"/>
    </row>
    <row r="246" spans="3:6" ht="13.2" x14ac:dyDescent="0.25">
      <c r="C246" s="3"/>
      <c r="D246" s="3"/>
      <c r="E246" s="3"/>
      <c r="F246" s="3"/>
    </row>
    <row r="247" spans="3:6" ht="13.2" x14ac:dyDescent="0.25">
      <c r="C247" s="3"/>
      <c r="D247" s="3"/>
      <c r="E247" s="3"/>
      <c r="F247" s="3"/>
    </row>
    <row r="248" spans="3:6" ht="13.2" x14ac:dyDescent="0.25">
      <c r="C248" s="3"/>
      <c r="D248" s="3"/>
      <c r="E248" s="3"/>
      <c r="F248" s="3"/>
    </row>
    <row r="249" spans="3:6" ht="13.2" x14ac:dyDescent="0.25">
      <c r="C249" s="3"/>
      <c r="D249" s="3"/>
      <c r="E249" s="3"/>
      <c r="F249" s="3"/>
    </row>
    <row r="250" spans="3:6" ht="13.2" x14ac:dyDescent="0.25">
      <c r="C250" s="3"/>
      <c r="D250" s="3"/>
      <c r="E250" s="3"/>
      <c r="F250" s="3"/>
    </row>
    <row r="251" spans="3:6" ht="13.2" x14ac:dyDescent="0.25">
      <c r="C251" s="3"/>
      <c r="D251" s="3"/>
      <c r="E251" s="3"/>
      <c r="F251" s="3"/>
    </row>
    <row r="252" spans="3:6" ht="13.2" x14ac:dyDescent="0.25">
      <c r="C252" s="3"/>
      <c r="D252" s="3"/>
      <c r="E252" s="3"/>
      <c r="F252" s="3"/>
    </row>
    <row r="253" spans="3:6" ht="13.2" x14ac:dyDescent="0.25">
      <c r="C253" s="3"/>
      <c r="D253" s="3"/>
      <c r="E253" s="3"/>
      <c r="F253" s="3"/>
    </row>
    <row r="254" spans="3:6" ht="13.2" x14ac:dyDescent="0.25">
      <c r="C254" s="3"/>
      <c r="D254" s="3"/>
      <c r="E254" s="3"/>
      <c r="F254" s="3"/>
    </row>
    <row r="255" spans="3:6" ht="13.2" x14ac:dyDescent="0.25">
      <c r="C255" s="3"/>
      <c r="D255" s="3"/>
      <c r="E255" s="3"/>
      <c r="F255" s="3"/>
    </row>
    <row r="256" spans="3:6" ht="13.2" x14ac:dyDescent="0.25">
      <c r="C256" s="3"/>
      <c r="D256" s="3"/>
      <c r="E256" s="3"/>
      <c r="F256" s="3"/>
    </row>
    <row r="257" spans="3:6" ht="13.2" x14ac:dyDescent="0.25">
      <c r="C257" s="3"/>
      <c r="D257" s="3"/>
      <c r="E257" s="3"/>
      <c r="F257" s="3"/>
    </row>
    <row r="258" spans="3:6" ht="13.2" x14ac:dyDescent="0.25">
      <c r="C258" s="3"/>
      <c r="D258" s="3"/>
      <c r="E258" s="3"/>
      <c r="F258" s="3"/>
    </row>
    <row r="259" spans="3:6" ht="13.2" x14ac:dyDescent="0.25">
      <c r="C259" s="3"/>
      <c r="D259" s="3"/>
      <c r="E259" s="3"/>
      <c r="F259" s="3"/>
    </row>
    <row r="260" spans="3:6" ht="13.2" x14ac:dyDescent="0.25">
      <c r="C260" s="3"/>
      <c r="D260" s="3"/>
      <c r="E260" s="3"/>
      <c r="F260" s="3"/>
    </row>
    <row r="261" spans="3:6" ht="13.2" x14ac:dyDescent="0.25">
      <c r="C261" s="3"/>
      <c r="D261" s="3"/>
      <c r="E261" s="3"/>
      <c r="F261" s="3"/>
    </row>
    <row r="262" spans="3:6" ht="13.2" x14ac:dyDescent="0.25">
      <c r="C262" s="3"/>
      <c r="D262" s="3"/>
      <c r="E262" s="3"/>
      <c r="F262" s="3"/>
    </row>
    <row r="263" spans="3:6" ht="13.2" x14ac:dyDescent="0.25">
      <c r="C263" s="3"/>
      <c r="D263" s="3"/>
      <c r="E263" s="3"/>
      <c r="F263" s="3"/>
    </row>
    <row r="264" spans="3:6" ht="13.2" x14ac:dyDescent="0.25">
      <c r="C264" s="3"/>
      <c r="D264" s="3"/>
      <c r="E264" s="3"/>
      <c r="F264" s="3"/>
    </row>
    <row r="265" spans="3:6" ht="13.2" x14ac:dyDescent="0.25">
      <c r="C265" s="3"/>
      <c r="D265" s="3"/>
      <c r="E265" s="3"/>
      <c r="F265" s="3"/>
    </row>
    <row r="266" spans="3:6" ht="13.2" x14ac:dyDescent="0.25">
      <c r="C266" s="3"/>
      <c r="D266" s="3"/>
      <c r="E266" s="3"/>
      <c r="F266" s="3"/>
    </row>
    <row r="267" spans="3:6" ht="13.2" x14ac:dyDescent="0.25">
      <c r="C267" s="3"/>
      <c r="D267" s="3"/>
      <c r="E267" s="3"/>
      <c r="F267" s="3"/>
    </row>
    <row r="268" spans="3:6" ht="13.2" x14ac:dyDescent="0.25">
      <c r="C268" s="3"/>
      <c r="D268" s="3"/>
      <c r="E268" s="3"/>
      <c r="F268" s="3"/>
    </row>
    <row r="269" spans="3:6" ht="13.2" x14ac:dyDescent="0.25">
      <c r="C269" s="3"/>
      <c r="D269" s="3"/>
      <c r="E269" s="3"/>
      <c r="F269" s="3"/>
    </row>
    <row r="270" spans="3:6" ht="13.2" x14ac:dyDescent="0.25">
      <c r="C270" s="3"/>
      <c r="D270" s="3"/>
      <c r="E270" s="3"/>
      <c r="F270" s="3"/>
    </row>
    <row r="271" spans="3:6" ht="13.2" x14ac:dyDescent="0.25">
      <c r="C271" s="3"/>
      <c r="D271" s="3"/>
      <c r="E271" s="3"/>
      <c r="F271" s="3"/>
    </row>
    <row r="272" spans="3:6" ht="13.2" x14ac:dyDescent="0.25">
      <c r="C272" s="3"/>
      <c r="D272" s="3"/>
      <c r="E272" s="3"/>
      <c r="F272" s="3"/>
    </row>
    <row r="273" spans="3:6" ht="13.2" x14ac:dyDescent="0.25">
      <c r="C273" s="3"/>
      <c r="D273" s="3"/>
      <c r="E273" s="3"/>
      <c r="F273" s="3"/>
    </row>
    <row r="274" spans="3:6" ht="13.2" x14ac:dyDescent="0.25">
      <c r="C274" s="3"/>
      <c r="D274" s="3"/>
      <c r="E274" s="3"/>
      <c r="F274" s="3"/>
    </row>
    <row r="275" spans="3:6" ht="13.2" x14ac:dyDescent="0.25">
      <c r="C275" s="3"/>
      <c r="D275" s="3"/>
      <c r="E275" s="3"/>
      <c r="F275" s="3"/>
    </row>
    <row r="276" spans="3:6" ht="13.2" x14ac:dyDescent="0.25">
      <c r="C276" s="3"/>
      <c r="D276" s="3"/>
      <c r="E276" s="3"/>
      <c r="F276" s="3"/>
    </row>
    <row r="277" spans="3:6" ht="13.2" x14ac:dyDescent="0.25">
      <c r="C277" s="3"/>
      <c r="D277" s="3"/>
      <c r="E277" s="3"/>
      <c r="F277" s="3"/>
    </row>
    <row r="278" spans="3:6" ht="13.2" x14ac:dyDescent="0.25">
      <c r="C278" s="3"/>
      <c r="D278" s="3"/>
      <c r="E278" s="3"/>
      <c r="F278" s="3"/>
    </row>
    <row r="279" spans="3:6" ht="13.2" x14ac:dyDescent="0.25">
      <c r="C279" s="3"/>
      <c r="D279" s="3"/>
      <c r="E279" s="3"/>
      <c r="F279" s="3"/>
    </row>
    <row r="280" spans="3:6" ht="13.2" x14ac:dyDescent="0.25">
      <c r="C280" s="3"/>
      <c r="D280" s="3"/>
      <c r="E280" s="3"/>
      <c r="F280" s="3"/>
    </row>
    <row r="281" spans="3:6" ht="13.2" x14ac:dyDescent="0.25">
      <c r="C281" s="3"/>
      <c r="D281" s="3"/>
      <c r="E281" s="3"/>
      <c r="F281" s="3"/>
    </row>
    <row r="282" spans="3:6" ht="13.2" x14ac:dyDescent="0.25">
      <c r="C282" s="3"/>
      <c r="D282" s="3"/>
      <c r="E282" s="3"/>
      <c r="F282" s="3"/>
    </row>
    <row r="283" spans="3:6" ht="13.2" x14ac:dyDescent="0.25">
      <c r="C283" s="3"/>
      <c r="D283" s="3"/>
      <c r="E283" s="3"/>
      <c r="F283" s="3"/>
    </row>
    <row r="284" spans="3:6" ht="13.2" x14ac:dyDescent="0.25">
      <c r="C284" s="3"/>
      <c r="D284" s="3"/>
      <c r="E284" s="3"/>
      <c r="F284" s="3"/>
    </row>
    <row r="285" spans="3:6" ht="13.2" x14ac:dyDescent="0.25">
      <c r="C285" s="3"/>
      <c r="D285" s="3"/>
      <c r="E285" s="3"/>
      <c r="F285" s="3"/>
    </row>
    <row r="286" spans="3:6" ht="13.2" x14ac:dyDescent="0.25">
      <c r="C286" s="3"/>
      <c r="D286" s="3"/>
      <c r="E286" s="3"/>
      <c r="F286" s="3"/>
    </row>
    <row r="287" spans="3:6" ht="13.2" x14ac:dyDescent="0.25">
      <c r="C287" s="3"/>
      <c r="D287" s="3"/>
      <c r="E287" s="3"/>
      <c r="F287" s="3"/>
    </row>
    <row r="288" spans="3:6" ht="13.2" x14ac:dyDescent="0.25">
      <c r="C288" s="3"/>
      <c r="D288" s="3"/>
      <c r="E288" s="3"/>
      <c r="F288" s="3"/>
    </row>
    <row r="289" spans="3:6" ht="13.2" x14ac:dyDescent="0.25">
      <c r="C289" s="3"/>
      <c r="D289" s="3"/>
      <c r="E289" s="3"/>
      <c r="F289" s="3"/>
    </row>
    <row r="290" spans="3:6" ht="13.2" x14ac:dyDescent="0.25">
      <c r="C290" s="3"/>
      <c r="D290" s="3"/>
      <c r="E290" s="3"/>
      <c r="F290" s="3"/>
    </row>
    <row r="291" spans="3:6" ht="13.2" x14ac:dyDescent="0.25">
      <c r="C291" s="3"/>
      <c r="D291" s="3"/>
      <c r="E291" s="3"/>
      <c r="F291" s="3"/>
    </row>
    <row r="292" spans="3:6" ht="13.2" x14ac:dyDescent="0.25">
      <c r="C292" s="3"/>
      <c r="D292" s="3"/>
      <c r="E292" s="3"/>
      <c r="F292" s="3"/>
    </row>
    <row r="293" spans="3:6" ht="13.2" x14ac:dyDescent="0.25">
      <c r="C293" s="3"/>
      <c r="D293" s="3"/>
      <c r="E293" s="3"/>
      <c r="F293" s="3"/>
    </row>
    <row r="294" spans="3:6" ht="13.2" x14ac:dyDescent="0.25">
      <c r="C294" s="3"/>
      <c r="D294" s="3"/>
      <c r="E294" s="3"/>
      <c r="F294" s="3"/>
    </row>
    <row r="295" spans="3:6" ht="13.2" x14ac:dyDescent="0.25">
      <c r="C295" s="3"/>
      <c r="D295" s="3"/>
      <c r="E295" s="3"/>
      <c r="F295" s="3"/>
    </row>
    <row r="296" spans="3:6" ht="13.2" x14ac:dyDescent="0.25">
      <c r="C296" s="3"/>
      <c r="D296" s="3"/>
      <c r="E296" s="3"/>
      <c r="F296" s="3"/>
    </row>
    <row r="297" spans="3:6" ht="13.2" x14ac:dyDescent="0.25">
      <c r="C297" s="3"/>
      <c r="D297" s="3"/>
      <c r="E297" s="3"/>
      <c r="F297" s="3"/>
    </row>
    <row r="298" spans="3:6" ht="13.2" x14ac:dyDescent="0.25">
      <c r="C298" s="3"/>
      <c r="D298" s="3"/>
      <c r="E298" s="3"/>
      <c r="F298" s="3"/>
    </row>
    <row r="299" spans="3:6" ht="13.2" x14ac:dyDescent="0.25">
      <c r="C299" s="3"/>
      <c r="D299" s="3"/>
      <c r="E299" s="3"/>
      <c r="F299" s="3"/>
    </row>
    <row r="300" spans="3:6" ht="13.2" x14ac:dyDescent="0.25">
      <c r="C300" s="3"/>
      <c r="D300" s="3"/>
      <c r="E300" s="3"/>
      <c r="F300" s="3"/>
    </row>
    <row r="301" spans="3:6" ht="13.2" x14ac:dyDescent="0.25">
      <c r="C301" s="3"/>
      <c r="D301" s="3"/>
      <c r="E301" s="3"/>
      <c r="F301" s="3"/>
    </row>
    <row r="302" spans="3:6" ht="13.2" x14ac:dyDescent="0.25">
      <c r="C302" s="3"/>
      <c r="D302" s="3"/>
      <c r="E302" s="3"/>
      <c r="F302" s="3"/>
    </row>
    <row r="303" spans="3:6" ht="13.2" x14ac:dyDescent="0.25">
      <c r="C303" s="3"/>
      <c r="D303" s="3"/>
      <c r="E303" s="3"/>
      <c r="F303" s="3"/>
    </row>
    <row r="304" spans="3:6" ht="13.2" x14ac:dyDescent="0.25">
      <c r="C304" s="3"/>
      <c r="D304" s="3"/>
      <c r="E304" s="3"/>
      <c r="F304" s="3"/>
    </row>
    <row r="305" spans="3:6" ht="13.2" x14ac:dyDescent="0.25">
      <c r="C305" s="3"/>
      <c r="D305" s="3"/>
      <c r="E305" s="3"/>
      <c r="F305" s="3"/>
    </row>
    <row r="306" spans="3:6" ht="13.2" x14ac:dyDescent="0.25">
      <c r="C306" s="3"/>
      <c r="D306" s="3"/>
      <c r="E306" s="3"/>
      <c r="F306" s="3"/>
    </row>
    <row r="307" spans="3:6" ht="13.2" x14ac:dyDescent="0.25">
      <c r="C307" s="3"/>
      <c r="D307" s="3"/>
      <c r="E307" s="3"/>
      <c r="F307" s="3"/>
    </row>
    <row r="308" spans="3:6" ht="13.2" x14ac:dyDescent="0.25">
      <c r="C308" s="3"/>
      <c r="D308" s="3"/>
      <c r="E308" s="3"/>
      <c r="F308" s="3"/>
    </row>
    <row r="309" spans="3:6" ht="13.2" x14ac:dyDescent="0.25">
      <c r="C309" s="3"/>
      <c r="D309" s="3"/>
      <c r="E309" s="3"/>
      <c r="F309" s="3"/>
    </row>
    <row r="310" spans="3:6" ht="13.2" x14ac:dyDescent="0.25">
      <c r="C310" s="3"/>
      <c r="D310" s="3"/>
      <c r="E310" s="3"/>
      <c r="F310" s="3"/>
    </row>
    <row r="311" spans="3:6" ht="13.2" x14ac:dyDescent="0.25">
      <c r="C311" s="3"/>
      <c r="D311" s="3"/>
      <c r="E311" s="3"/>
      <c r="F311" s="3"/>
    </row>
    <row r="312" spans="3:6" ht="13.2" x14ac:dyDescent="0.25">
      <c r="C312" s="3"/>
      <c r="D312" s="3"/>
      <c r="E312" s="3"/>
      <c r="F312" s="3"/>
    </row>
    <row r="313" spans="3:6" ht="13.2" x14ac:dyDescent="0.25">
      <c r="C313" s="3"/>
      <c r="D313" s="3"/>
      <c r="E313" s="3"/>
      <c r="F313" s="3"/>
    </row>
    <row r="314" spans="3:6" ht="13.2" x14ac:dyDescent="0.25">
      <c r="C314" s="3"/>
      <c r="D314" s="3"/>
      <c r="E314" s="3"/>
      <c r="F314" s="3"/>
    </row>
    <row r="315" spans="3:6" ht="13.2" x14ac:dyDescent="0.25">
      <c r="C315" s="3"/>
      <c r="D315" s="3"/>
      <c r="E315" s="3"/>
      <c r="F315" s="3"/>
    </row>
    <row r="316" spans="3:6" ht="13.2" x14ac:dyDescent="0.25">
      <c r="C316" s="3"/>
      <c r="D316" s="3"/>
      <c r="E316" s="3"/>
      <c r="F316" s="3"/>
    </row>
    <row r="317" spans="3:6" ht="13.2" x14ac:dyDescent="0.25">
      <c r="C317" s="3"/>
      <c r="D317" s="3"/>
      <c r="E317" s="3"/>
      <c r="F317" s="3"/>
    </row>
    <row r="318" spans="3:6" ht="13.2" x14ac:dyDescent="0.25">
      <c r="C318" s="3"/>
      <c r="D318" s="3"/>
      <c r="E318" s="3"/>
      <c r="F318" s="3"/>
    </row>
    <row r="319" spans="3:6" ht="13.2" x14ac:dyDescent="0.25">
      <c r="C319" s="3"/>
      <c r="D319" s="3"/>
      <c r="E319" s="3"/>
      <c r="F319" s="3"/>
    </row>
    <row r="320" spans="3:6" ht="13.2" x14ac:dyDescent="0.25">
      <c r="C320" s="3"/>
      <c r="D320" s="3"/>
      <c r="E320" s="3"/>
      <c r="F320" s="3"/>
    </row>
    <row r="321" spans="3:6" ht="13.2" x14ac:dyDescent="0.25">
      <c r="C321" s="3"/>
      <c r="D321" s="3"/>
      <c r="E321" s="3"/>
      <c r="F321" s="3"/>
    </row>
    <row r="322" spans="3:6" ht="13.2" x14ac:dyDescent="0.25">
      <c r="C322" s="3"/>
      <c r="D322" s="3"/>
      <c r="E322" s="3"/>
      <c r="F322" s="3"/>
    </row>
    <row r="323" spans="3:6" ht="13.2" x14ac:dyDescent="0.25">
      <c r="C323" s="3"/>
      <c r="D323" s="3"/>
      <c r="E323" s="3"/>
      <c r="F323" s="3"/>
    </row>
    <row r="324" spans="3:6" ht="13.2" x14ac:dyDescent="0.25">
      <c r="C324" s="3"/>
      <c r="D324" s="3"/>
      <c r="E324" s="3"/>
      <c r="F324" s="3"/>
    </row>
    <row r="325" spans="3:6" ht="13.2" x14ac:dyDescent="0.25">
      <c r="C325" s="3"/>
      <c r="D325" s="3"/>
      <c r="E325" s="3"/>
      <c r="F325" s="3"/>
    </row>
    <row r="326" spans="3:6" ht="13.2" x14ac:dyDescent="0.25">
      <c r="C326" s="3"/>
      <c r="D326" s="3"/>
      <c r="E326" s="3"/>
      <c r="F326" s="3"/>
    </row>
    <row r="327" spans="3:6" ht="13.2" x14ac:dyDescent="0.25">
      <c r="C327" s="3"/>
      <c r="D327" s="3"/>
      <c r="E327" s="3"/>
      <c r="F327" s="3"/>
    </row>
    <row r="328" spans="3:6" ht="13.2" x14ac:dyDescent="0.25">
      <c r="C328" s="3"/>
      <c r="D328" s="3"/>
      <c r="E328" s="3"/>
      <c r="F328" s="3"/>
    </row>
    <row r="329" spans="3:6" ht="13.2" x14ac:dyDescent="0.25">
      <c r="C329" s="3"/>
      <c r="D329" s="3"/>
      <c r="E329" s="3"/>
      <c r="F329" s="3"/>
    </row>
    <row r="330" spans="3:6" ht="13.2" x14ac:dyDescent="0.25">
      <c r="C330" s="3"/>
      <c r="D330" s="3"/>
      <c r="E330" s="3"/>
      <c r="F330" s="3"/>
    </row>
    <row r="331" spans="3:6" ht="13.2" x14ac:dyDescent="0.25">
      <c r="C331" s="3"/>
      <c r="D331" s="3"/>
      <c r="E331" s="3"/>
      <c r="F331" s="3"/>
    </row>
    <row r="332" spans="3:6" ht="13.2" x14ac:dyDescent="0.25">
      <c r="C332" s="3"/>
      <c r="D332" s="3"/>
      <c r="E332" s="3"/>
      <c r="F332" s="3"/>
    </row>
    <row r="333" spans="3:6" ht="13.2" x14ac:dyDescent="0.25">
      <c r="C333" s="3"/>
      <c r="D333" s="3"/>
      <c r="E333" s="3"/>
      <c r="F333" s="3"/>
    </row>
    <row r="334" spans="3:6" ht="13.2" x14ac:dyDescent="0.25">
      <c r="C334" s="3"/>
      <c r="D334" s="3"/>
      <c r="E334" s="3"/>
      <c r="F334" s="3"/>
    </row>
    <row r="335" spans="3:6" ht="13.2" x14ac:dyDescent="0.25">
      <c r="C335" s="3"/>
      <c r="D335" s="3"/>
      <c r="E335" s="3"/>
      <c r="F335" s="3"/>
    </row>
    <row r="336" spans="3:6" ht="13.2" x14ac:dyDescent="0.25">
      <c r="C336" s="3"/>
      <c r="D336" s="3"/>
      <c r="E336" s="3"/>
      <c r="F336" s="3"/>
    </row>
    <row r="337" spans="3:6" ht="13.2" x14ac:dyDescent="0.25">
      <c r="C337" s="3"/>
      <c r="D337" s="3"/>
      <c r="E337" s="3"/>
      <c r="F337" s="3"/>
    </row>
    <row r="338" spans="3:6" ht="13.2" x14ac:dyDescent="0.25">
      <c r="C338" s="3"/>
      <c r="D338" s="3"/>
      <c r="E338" s="3"/>
      <c r="F338" s="3"/>
    </row>
    <row r="339" spans="3:6" ht="13.2" x14ac:dyDescent="0.25">
      <c r="C339" s="3"/>
      <c r="D339" s="3"/>
      <c r="E339" s="3"/>
      <c r="F339" s="3"/>
    </row>
    <row r="340" spans="3:6" ht="13.2" x14ac:dyDescent="0.25">
      <c r="C340" s="3"/>
      <c r="D340" s="3"/>
      <c r="E340" s="3"/>
      <c r="F340" s="3"/>
    </row>
    <row r="341" spans="3:6" ht="13.2" x14ac:dyDescent="0.25">
      <c r="C341" s="3"/>
      <c r="D341" s="3"/>
      <c r="E341" s="3"/>
      <c r="F341" s="3"/>
    </row>
    <row r="342" spans="3:6" ht="13.2" x14ac:dyDescent="0.25">
      <c r="C342" s="3"/>
      <c r="D342" s="3"/>
      <c r="E342" s="3"/>
      <c r="F342" s="3"/>
    </row>
    <row r="343" spans="3:6" ht="13.2" x14ac:dyDescent="0.25">
      <c r="C343" s="3"/>
      <c r="D343" s="3"/>
      <c r="E343" s="3"/>
      <c r="F343" s="3"/>
    </row>
    <row r="344" spans="3:6" ht="13.2" x14ac:dyDescent="0.25">
      <c r="C344" s="3"/>
      <c r="D344" s="3"/>
      <c r="E344" s="3"/>
      <c r="F344" s="3"/>
    </row>
    <row r="345" spans="3:6" ht="13.2" x14ac:dyDescent="0.25">
      <c r="C345" s="3"/>
      <c r="D345" s="3"/>
      <c r="E345" s="3"/>
      <c r="F345" s="3"/>
    </row>
    <row r="346" spans="3:6" ht="13.2" x14ac:dyDescent="0.25">
      <c r="C346" s="3"/>
      <c r="D346" s="3"/>
      <c r="E346" s="3"/>
      <c r="F346" s="3"/>
    </row>
    <row r="347" spans="3:6" ht="13.2" x14ac:dyDescent="0.25">
      <c r="C347" s="3"/>
      <c r="D347" s="3"/>
      <c r="E347" s="3"/>
      <c r="F347" s="3"/>
    </row>
    <row r="348" spans="3:6" ht="13.2" x14ac:dyDescent="0.25">
      <c r="C348" s="3"/>
      <c r="D348" s="3"/>
      <c r="E348" s="3"/>
      <c r="F348" s="3"/>
    </row>
    <row r="349" spans="3:6" ht="13.2" x14ac:dyDescent="0.25">
      <c r="C349" s="3"/>
      <c r="D349" s="3"/>
      <c r="E349" s="3"/>
      <c r="F349" s="3"/>
    </row>
    <row r="350" spans="3:6" ht="13.2" x14ac:dyDescent="0.25">
      <c r="C350" s="3"/>
      <c r="D350" s="3"/>
      <c r="E350" s="3"/>
      <c r="F350" s="3"/>
    </row>
    <row r="351" spans="3:6" ht="13.2" x14ac:dyDescent="0.25">
      <c r="C351" s="3"/>
      <c r="D351" s="3"/>
      <c r="E351" s="3"/>
      <c r="F351" s="3"/>
    </row>
    <row r="352" spans="3:6" ht="13.2" x14ac:dyDescent="0.25">
      <c r="C352" s="3"/>
      <c r="D352" s="3"/>
      <c r="E352" s="3"/>
      <c r="F352" s="3"/>
    </row>
    <row r="353" spans="3:6" ht="13.2" x14ac:dyDescent="0.25">
      <c r="C353" s="3"/>
      <c r="D353" s="3"/>
      <c r="E353" s="3"/>
      <c r="F353" s="3"/>
    </row>
    <row r="354" spans="3:6" ht="13.2" x14ac:dyDescent="0.25">
      <c r="C354" s="3"/>
      <c r="D354" s="3"/>
      <c r="E354" s="3"/>
      <c r="F354" s="3"/>
    </row>
    <row r="355" spans="3:6" ht="13.2" x14ac:dyDescent="0.25">
      <c r="C355" s="3"/>
      <c r="D355" s="3"/>
      <c r="E355" s="3"/>
      <c r="F355" s="3"/>
    </row>
    <row r="356" spans="3:6" ht="13.2" x14ac:dyDescent="0.25">
      <c r="C356" s="3"/>
      <c r="D356" s="3"/>
      <c r="E356" s="3"/>
      <c r="F356" s="3"/>
    </row>
    <row r="357" spans="3:6" ht="13.2" x14ac:dyDescent="0.25">
      <c r="C357" s="3"/>
      <c r="D357" s="3"/>
      <c r="E357" s="3"/>
      <c r="F357" s="3"/>
    </row>
    <row r="358" spans="3:6" ht="13.2" x14ac:dyDescent="0.25">
      <c r="C358" s="3"/>
      <c r="D358" s="3"/>
      <c r="E358" s="3"/>
      <c r="F358" s="3"/>
    </row>
    <row r="359" spans="3:6" ht="13.2" x14ac:dyDescent="0.25">
      <c r="C359" s="3"/>
      <c r="D359" s="3"/>
      <c r="E359" s="3"/>
      <c r="F359" s="3"/>
    </row>
    <row r="360" spans="3:6" ht="13.2" x14ac:dyDescent="0.25">
      <c r="C360" s="3"/>
      <c r="D360" s="3"/>
      <c r="E360" s="3"/>
      <c r="F360" s="3"/>
    </row>
    <row r="361" spans="3:6" ht="13.2" x14ac:dyDescent="0.25">
      <c r="C361" s="3"/>
      <c r="D361" s="3"/>
      <c r="E361" s="3"/>
      <c r="F361" s="3"/>
    </row>
    <row r="362" spans="3:6" ht="13.2" x14ac:dyDescent="0.25">
      <c r="C362" s="3"/>
      <c r="D362" s="3"/>
      <c r="E362" s="3"/>
      <c r="F362" s="3"/>
    </row>
    <row r="363" spans="3:6" ht="13.2" x14ac:dyDescent="0.25">
      <c r="C363" s="3"/>
      <c r="D363" s="3"/>
      <c r="E363" s="3"/>
      <c r="F363" s="3"/>
    </row>
    <row r="364" spans="3:6" ht="13.2" x14ac:dyDescent="0.25">
      <c r="C364" s="3"/>
      <c r="D364" s="3"/>
      <c r="E364" s="3"/>
      <c r="F364" s="3"/>
    </row>
    <row r="365" spans="3:6" ht="13.2" x14ac:dyDescent="0.25">
      <c r="C365" s="3"/>
      <c r="D365" s="3"/>
      <c r="E365" s="3"/>
      <c r="F365" s="3"/>
    </row>
    <row r="366" spans="3:6" ht="13.2" x14ac:dyDescent="0.25">
      <c r="C366" s="3"/>
      <c r="D366" s="3"/>
      <c r="E366" s="3"/>
      <c r="F366" s="3"/>
    </row>
    <row r="367" spans="3:6" ht="13.2" x14ac:dyDescent="0.25">
      <c r="C367" s="3"/>
      <c r="D367" s="3"/>
      <c r="E367" s="3"/>
      <c r="F367" s="3"/>
    </row>
    <row r="368" spans="3:6" ht="13.2" x14ac:dyDescent="0.25">
      <c r="C368" s="3"/>
      <c r="D368" s="3"/>
      <c r="E368" s="3"/>
      <c r="F368" s="3"/>
    </row>
    <row r="369" spans="3:6" ht="13.2" x14ac:dyDescent="0.25">
      <c r="C369" s="3"/>
      <c r="D369" s="3"/>
      <c r="E369" s="3"/>
      <c r="F369" s="3"/>
    </row>
    <row r="370" spans="3:6" ht="13.2" x14ac:dyDescent="0.25">
      <c r="C370" s="3"/>
      <c r="D370" s="3"/>
      <c r="E370" s="3"/>
      <c r="F370" s="3"/>
    </row>
    <row r="371" spans="3:6" ht="13.2" x14ac:dyDescent="0.25">
      <c r="C371" s="3"/>
      <c r="D371" s="3"/>
      <c r="E371" s="3"/>
      <c r="F371" s="3"/>
    </row>
    <row r="372" spans="3:6" ht="13.2" x14ac:dyDescent="0.25">
      <c r="C372" s="3"/>
      <c r="D372" s="3"/>
      <c r="E372" s="3"/>
      <c r="F372" s="3"/>
    </row>
    <row r="373" spans="3:6" ht="13.2" x14ac:dyDescent="0.25">
      <c r="C373" s="3"/>
      <c r="D373" s="3"/>
      <c r="E373" s="3"/>
      <c r="F373" s="3"/>
    </row>
    <row r="374" spans="3:6" ht="13.2" x14ac:dyDescent="0.25">
      <c r="C374" s="3"/>
      <c r="D374" s="3"/>
      <c r="E374" s="3"/>
      <c r="F374" s="3"/>
    </row>
    <row r="375" spans="3:6" ht="13.2" x14ac:dyDescent="0.25">
      <c r="C375" s="3"/>
      <c r="D375" s="3"/>
      <c r="E375" s="3"/>
      <c r="F375" s="3"/>
    </row>
    <row r="376" spans="3:6" ht="13.2" x14ac:dyDescent="0.25">
      <c r="C376" s="3"/>
      <c r="D376" s="3"/>
      <c r="E376" s="3"/>
      <c r="F376" s="3"/>
    </row>
    <row r="377" spans="3:6" ht="13.2" x14ac:dyDescent="0.25">
      <c r="C377" s="3"/>
      <c r="D377" s="3"/>
      <c r="E377" s="3"/>
      <c r="F377" s="3"/>
    </row>
    <row r="378" spans="3:6" ht="13.2" x14ac:dyDescent="0.25">
      <c r="C378" s="3"/>
      <c r="D378" s="3"/>
      <c r="E378" s="3"/>
      <c r="F378" s="3"/>
    </row>
    <row r="379" spans="3:6" ht="13.2" x14ac:dyDescent="0.25">
      <c r="C379" s="3"/>
      <c r="D379" s="3"/>
      <c r="E379" s="3"/>
      <c r="F379" s="3"/>
    </row>
    <row r="380" spans="3:6" ht="13.2" x14ac:dyDescent="0.25">
      <c r="C380" s="3"/>
      <c r="D380" s="3"/>
      <c r="E380" s="3"/>
      <c r="F380" s="3"/>
    </row>
    <row r="381" spans="3:6" ht="13.2" x14ac:dyDescent="0.25">
      <c r="C381" s="3"/>
      <c r="D381" s="3"/>
      <c r="E381" s="3"/>
      <c r="F381" s="3"/>
    </row>
    <row r="382" spans="3:6" ht="13.2" x14ac:dyDescent="0.25">
      <c r="C382" s="3"/>
      <c r="D382" s="3"/>
      <c r="E382" s="3"/>
      <c r="F382" s="3"/>
    </row>
    <row r="383" spans="3:6" ht="13.2" x14ac:dyDescent="0.25">
      <c r="C383" s="3"/>
      <c r="D383" s="3"/>
      <c r="E383" s="3"/>
      <c r="F383" s="3"/>
    </row>
    <row r="384" spans="3:6" ht="13.2" x14ac:dyDescent="0.25">
      <c r="C384" s="3"/>
      <c r="D384" s="3"/>
      <c r="E384" s="3"/>
      <c r="F384" s="3"/>
    </row>
    <row r="385" spans="3:6" ht="13.2" x14ac:dyDescent="0.25">
      <c r="C385" s="3"/>
      <c r="D385" s="3"/>
      <c r="E385" s="3"/>
      <c r="F385" s="3"/>
    </row>
    <row r="386" spans="3:6" ht="13.2" x14ac:dyDescent="0.25">
      <c r="C386" s="3"/>
      <c r="D386" s="3"/>
      <c r="E386" s="3"/>
      <c r="F386" s="3"/>
    </row>
    <row r="387" spans="3:6" ht="13.2" x14ac:dyDescent="0.25">
      <c r="C387" s="3"/>
      <c r="D387" s="3"/>
      <c r="E387" s="3"/>
      <c r="F387" s="3"/>
    </row>
    <row r="388" spans="3:6" ht="13.2" x14ac:dyDescent="0.25">
      <c r="C388" s="3"/>
      <c r="D388" s="3"/>
      <c r="E388" s="3"/>
      <c r="F388" s="3"/>
    </row>
    <row r="389" spans="3:6" ht="13.2" x14ac:dyDescent="0.25">
      <c r="C389" s="3"/>
      <c r="D389" s="3"/>
      <c r="E389" s="3"/>
      <c r="F389" s="3"/>
    </row>
    <row r="390" spans="3:6" ht="13.2" x14ac:dyDescent="0.25">
      <c r="C390" s="3"/>
      <c r="D390" s="3"/>
      <c r="E390" s="3"/>
      <c r="F390" s="3"/>
    </row>
    <row r="391" spans="3:6" ht="13.2" x14ac:dyDescent="0.25">
      <c r="C391" s="3"/>
      <c r="D391" s="3"/>
      <c r="E391" s="3"/>
      <c r="F391" s="3"/>
    </row>
    <row r="392" spans="3:6" ht="13.2" x14ac:dyDescent="0.25">
      <c r="C392" s="3"/>
      <c r="D392" s="3"/>
      <c r="E392" s="3"/>
      <c r="F392" s="3"/>
    </row>
    <row r="393" spans="3:6" ht="13.2" x14ac:dyDescent="0.25">
      <c r="C393" s="3"/>
      <c r="D393" s="3"/>
      <c r="E393" s="3"/>
      <c r="F393" s="3"/>
    </row>
    <row r="394" spans="3:6" ht="13.2" x14ac:dyDescent="0.25">
      <c r="C394" s="3"/>
      <c r="D394" s="3"/>
      <c r="E394" s="3"/>
      <c r="F394" s="3"/>
    </row>
    <row r="395" spans="3:6" ht="13.2" x14ac:dyDescent="0.25">
      <c r="C395" s="3"/>
      <c r="D395" s="3"/>
      <c r="E395" s="3"/>
      <c r="F395" s="3"/>
    </row>
    <row r="396" spans="3:6" ht="13.2" x14ac:dyDescent="0.25">
      <c r="C396" s="3"/>
      <c r="D396" s="3"/>
      <c r="E396" s="3"/>
      <c r="F396" s="3"/>
    </row>
    <row r="397" spans="3:6" ht="13.2" x14ac:dyDescent="0.25">
      <c r="C397" s="3"/>
      <c r="D397" s="3"/>
      <c r="E397" s="3"/>
      <c r="F397" s="3"/>
    </row>
    <row r="398" spans="3:6" ht="13.2" x14ac:dyDescent="0.25">
      <c r="C398" s="3"/>
      <c r="D398" s="3"/>
      <c r="E398" s="3"/>
      <c r="F398" s="3"/>
    </row>
    <row r="399" spans="3:6" ht="13.2" x14ac:dyDescent="0.25">
      <c r="C399" s="3"/>
      <c r="D399" s="3"/>
      <c r="E399" s="3"/>
      <c r="F399" s="3"/>
    </row>
    <row r="400" spans="3:6" ht="13.2" x14ac:dyDescent="0.25">
      <c r="C400" s="3"/>
      <c r="D400" s="3"/>
      <c r="E400" s="3"/>
      <c r="F400" s="3"/>
    </row>
    <row r="401" spans="3:6" ht="13.2" x14ac:dyDescent="0.25">
      <c r="C401" s="3"/>
      <c r="D401" s="3"/>
      <c r="E401" s="3"/>
      <c r="F401" s="3"/>
    </row>
    <row r="402" spans="3:6" ht="13.2" x14ac:dyDescent="0.25">
      <c r="C402" s="3"/>
      <c r="D402" s="3"/>
      <c r="E402" s="3"/>
      <c r="F402" s="3"/>
    </row>
    <row r="403" spans="3:6" ht="13.2" x14ac:dyDescent="0.25">
      <c r="C403" s="3"/>
      <c r="D403" s="3"/>
      <c r="E403" s="3"/>
      <c r="F403" s="3"/>
    </row>
    <row r="404" spans="3:6" ht="13.2" x14ac:dyDescent="0.25">
      <c r="C404" s="3"/>
      <c r="D404" s="3"/>
      <c r="E404" s="3"/>
      <c r="F404" s="3"/>
    </row>
    <row r="405" spans="3:6" ht="13.2" x14ac:dyDescent="0.25">
      <c r="C405" s="3"/>
      <c r="D405" s="3"/>
      <c r="E405" s="3"/>
      <c r="F405" s="3"/>
    </row>
    <row r="406" spans="3:6" ht="13.2" x14ac:dyDescent="0.25">
      <c r="C406" s="3"/>
      <c r="D406" s="3"/>
      <c r="E406" s="3"/>
      <c r="F406" s="3"/>
    </row>
    <row r="407" spans="3:6" ht="13.2" x14ac:dyDescent="0.25">
      <c r="C407" s="3"/>
      <c r="D407" s="3"/>
      <c r="E407" s="3"/>
      <c r="F407" s="3"/>
    </row>
    <row r="408" spans="3:6" ht="13.2" x14ac:dyDescent="0.25">
      <c r="C408" s="3"/>
      <c r="D408" s="3"/>
      <c r="E408" s="3"/>
      <c r="F408" s="3"/>
    </row>
    <row r="409" spans="3:6" ht="13.2" x14ac:dyDescent="0.25">
      <c r="C409" s="3"/>
      <c r="D409" s="3"/>
      <c r="E409" s="3"/>
      <c r="F409" s="3"/>
    </row>
    <row r="410" spans="3:6" ht="13.2" x14ac:dyDescent="0.25">
      <c r="C410" s="3"/>
      <c r="D410" s="3"/>
      <c r="E410" s="3"/>
      <c r="F410" s="3"/>
    </row>
    <row r="411" spans="3:6" ht="13.2" x14ac:dyDescent="0.25">
      <c r="C411" s="3"/>
      <c r="D411" s="3"/>
      <c r="E411" s="3"/>
      <c r="F411" s="3"/>
    </row>
    <row r="412" spans="3:6" ht="13.2" x14ac:dyDescent="0.25">
      <c r="C412" s="3"/>
      <c r="D412" s="3"/>
      <c r="E412" s="3"/>
      <c r="F412" s="3"/>
    </row>
    <row r="413" spans="3:6" ht="13.2" x14ac:dyDescent="0.25">
      <c r="C413" s="3"/>
      <c r="D413" s="3"/>
      <c r="E413" s="3"/>
      <c r="F413" s="3"/>
    </row>
    <row r="414" spans="3:6" ht="13.2" x14ac:dyDescent="0.25">
      <c r="C414" s="3"/>
      <c r="D414" s="3"/>
      <c r="E414" s="3"/>
      <c r="F414" s="3"/>
    </row>
    <row r="415" spans="3:6" ht="13.2" x14ac:dyDescent="0.25">
      <c r="C415" s="3"/>
      <c r="D415" s="3"/>
      <c r="E415" s="3"/>
      <c r="F415" s="3"/>
    </row>
    <row r="416" spans="3:6" ht="13.2" x14ac:dyDescent="0.25">
      <c r="C416" s="3"/>
      <c r="D416" s="3"/>
      <c r="E416" s="3"/>
      <c r="F416" s="3"/>
    </row>
    <row r="417" spans="3:6" ht="13.2" x14ac:dyDescent="0.25">
      <c r="C417" s="3"/>
      <c r="D417" s="3"/>
      <c r="E417" s="3"/>
      <c r="F417" s="3"/>
    </row>
    <row r="418" spans="3:6" ht="13.2" x14ac:dyDescent="0.25">
      <c r="C418" s="3"/>
      <c r="D418" s="3"/>
      <c r="E418" s="3"/>
      <c r="F418" s="3"/>
    </row>
    <row r="419" spans="3:6" ht="13.2" x14ac:dyDescent="0.25">
      <c r="C419" s="3"/>
      <c r="D419" s="3"/>
      <c r="E419" s="3"/>
      <c r="F419" s="3"/>
    </row>
    <row r="420" spans="3:6" ht="13.2" x14ac:dyDescent="0.25">
      <c r="C420" s="3"/>
      <c r="D420" s="3"/>
      <c r="E420" s="3"/>
      <c r="F420" s="3"/>
    </row>
    <row r="421" spans="3:6" ht="13.2" x14ac:dyDescent="0.25">
      <c r="C421" s="3"/>
      <c r="D421" s="3"/>
      <c r="E421" s="3"/>
      <c r="F421" s="3"/>
    </row>
    <row r="422" spans="3:6" ht="13.2" x14ac:dyDescent="0.25">
      <c r="C422" s="3"/>
      <c r="D422" s="3"/>
      <c r="E422" s="3"/>
      <c r="F422" s="3"/>
    </row>
    <row r="423" spans="3:6" ht="13.2" x14ac:dyDescent="0.25">
      <c r="C423" s="3"/>
      <c r="D423" s="3"/>
      <c r="E423" s="3"/>
      <c r="F423" s="3"/>
    </row>
    <row r="424" spans="3:6" ht="13.2" x14ac:dyDescent="0.25">
      <c r="C424" s="3"/>
      <c r="D424" s="3"/>
      <c r="E424" s="3"/>
      <c r="F424" s="3"/>
    </row>
    <row r="425" spans="3:6" ht="13.2" x14ac:dyDescent="0.25">
      <c r="C425" s="3"/>
      <c r="D425" s="3"/>
      <c r="E425" s="3"/>
      <c r="F425" s="3"/>
    </row>
    <row r="426" spans="3:6" ht="13.2" x14ac:dyDescent="0.25">
      <c r="C426" s="3"/>
      <c r="D426" s="3"/>
      <c r="E426" s="3"/>
      <c r="F426" s="3"/>
    </row>
    <row r="427" spans="3:6" ht="13.2" x14ac:dyDescent="0.25">
      <c r="C427" s="3"/>
      <c r="D427" s="3"/>
      <c r="E427" s="3"/>
      <c r="F427" s="3"/>
    </row>
    <row r="428" spans="3:6" ht="13.2" x14ac:dyDescent="0.25">
      <c r="C428" s="3"/>
      <c r="D428" s="3"/>
      <c r="E428" s="3"/>
      <c r="F428" s="3"/>
    </row>
    <row r="429" spans="3:6" ht="13.2" x14ac:dyDescent="0.25">
      <c r="C429" s="3"/>
      <c r="D429" s="3"/>
      <c r="E429" s="3"/>
      <c r="F429" s="3"/>
    </row>
    <row r="430" spans="3:6" ht="13.2" x14ac:dyDescent="0.25">
      <c r="C430" s="3"/>
      <c r="D430" s="3"/>
      <c r="E430" s="3"/>
      <c r="F430" s="3"/>
    </row>
    <row r="431" spans="3:6" ht="13.2" x14ac:dyDescent="0.25">
      <c r="C431" s="3"/>
      <c r="D431" s="3"/>
      <c r="E431" s="3"/>
      <c r="F431" s="3"/>
    </row>
    <row r="432" spans="3:6" ht="13.2" x14ac:dyDescent="0.25">
      <c r="C432" s="3"/>
      <c r="D432" s="3"/>
      <c r="E432" s="3"/>
      <c r="F432" s="3"/>
    </row>
    <row r="433" spans="3:6" ht="13.2" x14ac:dyDescent="0.25">
      <c r="C433" s="3"/>
      <c r="D433" s="3"/>
      <c r="E433" s="3"/>
      <c r="F433" s="3"/>
    </row>
    <row r="434" spans="3:6" ht="13.2" x14ac:dyDescent="0.25">
      <c r="C434" s="3"/>
      <c r="D434" s="3"/>
      <c r="E434" s="3"/>
      <c r="F434" s="3"/>
    </row>
    <row r="435" spans="3:6" ht="13.2" x14ac:dyDescent="0.25">
      <c r="C435" s="3"/>
      <c r="D435" s="3"/>
      <c r="E435" s="3"/>
      <c r="F435" s="3"/>
    </row>
    <row r="436" spans="3:6" ht="13.2" x14ac:dyDescent="0.25">
      <c r="C436" s="3"/>
      <c r="D436" s="3"/>
      <c r="E436" s="3"/>
      <c r="F436" s="3"/>
    </row>
    <row r="437" spans="3:6" ht="13.2" x14ac:dyDescent="0.25">
      <c r="C437" s="3"/>
      <c r="D437" s="3"/>
      <c r="E437" s="3"/>
      <c r="F437" s="3"/>
    </row>
    <row r="438" spans="3:6" ht="13.2" x14ac:dyDescent="0.25">
      <c r="C438" s="3"/>
      <c r="D438" s="3"/>
      <c r="E438" s="3"/>
      <c r="F438" s="3"/>
    </row>
    <row r="439" spans="3:6" ht="13.2" x14ac:dyDescent="0.25">
      <c r="C439" s="3"/>
      <c r="D439" s="3"/>
      <c r="E439" s="3"/>
      <c r="F439" s="3"/>
    </row>
    <row r="440" spans="3:6" ht="13.2" x14ac:dyDescent="0.25">
      <c r="C440" s="3"/>
      <c r="D440" s="3"/>
      <c r="E440" s="3"/>
      <c r="F440" s="3"/>
    </row>
    <row r="441" spans="3:6" ht="13.2" x14ac:dyDescent="0.25">
      <c r="C441" s="3"/>
      <c r="D441" s="3"/>
      <c r="E441" s="3"/>
      <c r="F441" s="3"/>
    </row>
    <row r="442" spans="3:6" ht="13.2" x14ac:dyDescent="0.25">
      <c r="C442" s="3"/>
      <c r="D442" s="3"/>
      <c r="E442" s="3"/>
      <c r="F442" s="3"/>
    </row>
    <row r="443" spans="3:6" ht="13.2" x14ac:dyDescent="0.25">
      <c r="C443" s="3"/>
      <c r="D443" s="3"/>
      <c r="E443" s="3"/>
      <c r="F443" s="3"/>
    </row>
    <row r="444" spans="3:6" ht="13.2" x14ac:dyDescent="0.25">
      <c r="C444" s="3"/>
      <c r="D444" s="3"/>
      <c r="E444" s="3"/>
      <c r="F444" s="3"/>
    </row>
    <row r="445" spans="3:6" ht="13.2" x14ac:dyDescent="0.25">
      <c r="C445" s="3"/>
      <c r="D445" s="3"/>
      <c r="E445" s="3"/>
      <c r="F445" s="3"/>
    </row>
    <row r="446" spans="3:6" ht="13.2" x14ac:dyDescent="0.25">
      <c r="C446" s="3"/>
      <c r="D446" s="3"/>
      <c r="E446" s="3"/>
      <c r="F446" s="3"/>
    </row>
    <row r="447" spans="3:6" ht="13.2" x14ac:dyDescent="0.25">
      <c r="C447" s="3"/>
      <c r="D447" s="3"/>
      <c r="E447" s="3"/>
      <c r="F447" s="3"/>
    </row>
    <row r="448" spans="3:6" ht="13.2" x14ac:dyDescent="0.25">
      <c r="C448" s="3"/>
      <c r="D448" s="3"/>
      <c r="E448" s="3"/>
      <c r="F448" s="3"/>
    </row>
    <row r="449" spans="3:6" ht="13.2" x14ac:dyDescent="0.25">
      <c r="C449" s="3"/>
      <c r="D449" s="3"/>
      <c r="E449" s="3"/>
      <c r="F449" s="3"/>
    </row>
    <row r="450" spans="3:6" ht="13.2" x14ac:dyDescent="0.25">
      <c r="C450" s="3"/>
      <c r="D450" s="3"/>
      <c r="E450" s="3"/>
      <c r="F450" s="3"/>
    </row>
    <row r="451" spans="3:6" ht="13.2" x14ac:dyDescent="0.25">
      <c r="C451" s="3"/>
      <c r="D451" s="3"/>
      <c r="E451" s="3"/>
      <c r="F451" s="3"/>
    </row>
    <row r="452" spans="3:6" ht="13.2" x14ac:dyDescent="0.25">
      <c r="C452" s="3"/>
      <c r="D452" s="3"/>
      <c r="E452" s="3"/>
      <c r="F452" s="3"/>
    </row>
    <row r="453" spans="3:6" ht="13.2" x14ac:dyDescent="0.25">
      <c r="C453" s="3"/>
      <c r="D453" s="3"/>
      <c r="E453" s="3"/>
      <c r="F453" s="3"/>
    </row>
    <row r="454" spans="3:6" ht="13.2" x14ac:dyDescent="0.25">
      <c r="C454" s="3"/>
      <c r="D454" s="3"/>
      <c r="E454" s="3"/>
      <c r="F454" s="3"/>
    </row>
    <row r="455" spans="3:6" ht="13.2" x14ac:dyDescent="0.25">
      <c r="C455" s="3"/>
      <c r="D455" s="3"/>
      <c r="E455" s="3"/>
      <c r="F455" s="3"/>
    </row>
    <row r="456" spans="3:6" ht="13.2" x14ac:dyDescent="0.25">
      <c r="C456" s="3"/>
      <c r="D456" s="3"/>
      <c r="E456" s="3"/>
      <c r="F456" s="3"/>
    </row>
    <row r="457" spans="3:6" ht="13.2" x14ac:dyDescent="0.25">
      <c r="C457" s="3"/>
      <c r="D457" s="3"/>
      <c r="E457" s="3"/>
      <c r="F457" s="3"/>
    </row>
    <row r="458" spans="3:6" ht="13.2" x14ac:dyDescent="0.25">
      <c r="C458" s="3"/>
      <c r="D458" s="3"/>
      <c r="E458" s="3"/>
      <c r="F458" s="3"/>
    </row>
    <row r="459" spans="3:6" ht="13.2" x14ac:dyDescent="0.25">
      <c r="C459" s="3"/>
      <c r="D459" s="3"/>
      <c r="E459" s="3"/>
      <c r="F459" s="3"/>
    </row>
    <row r="460" spans="3:6" ht="13.2" x14ac:dyDescent="0.25">
      <c r="C460" s="3"/>
      <c r="D460" s="3"/>
      <c r="E460" s="3"/>
      <c r="F460" s="3"/>
    </row>
    <row r="461" spans="3:6" ht="13.2" x14ac:dyDescent="0.25">
      <c r="C461" s="3"/>
      <c r="D461" s="3"/>
      <c r="E461" s="3"/>
      <c r="F461" s="3"/>
    </row>
    <row r="462" spans="3:6" ht="13.2" x14ac:dyDescent="0.25">
      <c r="C462" s="3"/>
      <c r="D462" s="3"/>
      <c r="E462" s="3"/>
      <c r="F462" s="3"/>
    </row>
    <row r="463" spans="3:6" ht="13.2" x14ac:dyDescent="0.25">
      <c r="C463" s="3"/>
      <c r="D463" s="3"/>
      <c r="E463" s="3"/>
      <c r="F463" s="3"/>
    </row>
    <row r="464" spans="3:6" ht="13.2" x14ac:dyDescent="0.25">
      <c r="C464" s="3"/>
      <c r="D464" s="3"/>
      <c r="E464" s="3"/>
      <c r="F464" s="3"/>
    </row>
    <row r="465" spans="3:6" ht="13.2" x14ac:dyDescent="0.25">
      <c r="C465" s="3"/>
      <c r="D465" s="3"/>
      <c r="E465" s="3"/>
      <c r="F465" s="3"/>
    </row>
    <row r="466" spans="3:6" ht="13.2" x14ac:dyDescent="0.25">
      <c r="C466" s="3"/>
      <c r="D466" s="3"/>
      <c r="E466" s="3"/>
      <c r="F466" s="3"/>
    </row>
    <row r="467" spans="3:6" ht="13.2" x14ac:dyDescent="0.25">
      <c r="C467" s="3"/>
      <c r="D467" s="3"/>
      <c r="E467" s="3"/>
      <c r="F467" s="3"/>
    </row>
    <row r="468" spans="3:6" ht="13.2" x14ac:dyDescent="0.25">
      <c r="C468" s="3"/>
      <c r="D468" s="3"/>
      <c r="E468" s="3"/>
      <c r="F468" s="3"/>
    </row>
    <row r="469" spans="3:6" ht="13.2" x14ac:dyDescent="0.25">
      <c r="C469" s="3"/>
      <c r="D469" s="3"/>
      <c r="E469" s="3"/>
      <c r="F469" s="3"/>
    </row>
    <row r="470" spans="3:6" ht="13.2" x14ac:dyDescent="0.25">
      <c r="C470" s="3"/>
      <c r="D470" s="3"/>
      <c r="E470" s="3"/>
      <c r="F470" s="3"/>
    </row>
    <row r="471" spans="3:6" ht="13.2" x14ac:dyDescent="0.25">
      <c r="C471" s="3"/>
      <c r="D471" s="3"/>
      <c r="E471" s="3"/>
      <c r="F471" s="3"/>
    </row>
    <row r="472" spans="3:6" ht="13.2" x14ac:dyDescent="0.25">
      <c r="C472" s="3"/>
      <c r="D472" s="3"/>
      <c r="E472" s="3"/>
      <c r="F472" s="3"/>
    </row>
    <row r="473" spans="3:6" ht="13.2" x14ac:dyDescent="0.25">
      <c r="C473" s="3"/>
      <c r="D473" s="3"/>
      <c r="E473" s="3"/>
      <c r="F473" s="3"/>
    </row>
    <row r="474" spans="3:6" ht="13.2" x14ac:dyDescent="0.25">
      <c r="C474" s="3"/>
      <c r="D474" s="3"/>
      <c r="E474" s="3"/>
      <c r="F474" s="3"/>
    </row>
    <row r="475" spans="3:6" ht="13.2" x14ac:dyDescent="0.25">
      <c r="C475" s="3"/>
      <c r="D475" s="3"/>
      <c r="E475" s="3"/>
      <c r="F475" s="3"/>
    </row>
    <row r="476" spans="3:6" ht="13.2" x14ac:dyDescent="0.25">
      <c r="C476" s="3"/>
      <c r="D476" s="3"/>
      <c r="E476" s="3"/>
      <c r="F476" s="3"/>
    </row>
    <row r="477" spans="3:6" ht="13.2" x14ac:dyDescent="0.25">
      <c r="C477" s="3"/>
      <c r="D477" s="3"/>
      <c r="E477" s="3"/>
      <c r="F477" s="3"/>
    </row>
    <row r="478" spans="3:6" ht="13.2" x14ac:dyDescent="0.25">
      <c r="C478" s="3"/>
      <c r="D478" s="3"/>
      <c r="E478" s="3"/>
      <c r="F478" s="3"/>
    </row>
    <row r="479" spans="3:6" ht="13.2" x14ac:dyDescent="0.25">
      <c r="C479" s="3"/>
      <c r="D479" s="3"/>
      <c r="E479" s="3"/>
      <c r="F479" s="3"/>
    </row>
    <row r="480" spans="3:6" ht="13.2" x14ac:dyDescent="0.25">
      <c r="C480" s="3"/>
      <c r="D480" s="3"/>
      <c r="E480" s="3"/>
      <c r="F480" s="3"/>
    </row>
    <row r="481" spans="3:6" ht="13.2" x14ac:dyDescent="0.25">
      <c r="C481" s="3"/>
      <c r="D481" s="3"/>
      <c r="E481" s="3"/>
      <c r="F481" s="3"/>
    </row>
    <row r="482" spans="3:6" ht="13.2" x14ac:dyDescent="0.25">
      <c r="C482" s="3"/>
      <c r="D482" s="3"/>
      <c r="E482" s="3"/>
      <c r="F482" s="3"/>
    </row>
    <row r="483" spans="3:6" ht="13.2" x14ac:dyDescent="0.25">
      <c r="C483" s="3"/>
      <c r="D483" s="3"/>
      <c r="E483" s="3"/>
      <c r="F483" s="3"/>
    </row>
    <row r="484" spans="3:6" ht="13.2" x14ac:dyDescent="0.25">
      <c r="C484" s="3"/>
      <c r="D484" s="3"/>
      <c r="E484" s="3"/>
      <c r="F484" s="3"/>
    </row>
    <row r="485" spans="3:6" ht="13.2" x14ac:dyDescent="0.25">
      <c r="C485" s="3"/>
      <c r="D485" s="3"/>
      <c r="E485" s="3"/>
      <c r="F485" s="3"/>
    </row>
    <row r="486" spans="3:6" ht="13.2" x14ac:dyDescent="0.25">
      <c r="C486" s="3"/>
      <c r="D486" s="3"/>
      <c r="E486" s="3"/>
      <c r="F486" s="3"/>
    </row>
    <row r="487" spans="3:6" ht="13.2" x14ac:dyDescent="0.25">
      <c r="C487" s="3"/>
      <c r="D487" s="3"/>
      <c r="E487" s="3"/>
      <c r="F487" s="3"/>
    </row>
    <row r="488" spans="3:6" ht="13.2" x14ac:dyDescent="0.25">
      <c r="C488" s="3"/>
      <c r="D488" s="3"/>
      <c r="E488" s="3"/>
      <c r="F488" s="3"/>
    </row>
    <row r="489" spans="3:6" ht="13.2" x14ac:dyDescent="0.25">
      <c r="C489" s="3"/>
      <c r="D489" s="3"/>
      <c r="E489" s="3"/>
      <c r="F489" s="3"/>
    </row>
    <row r="490" spans="3:6" ht="13.2" x14ac:dyDescent="0.25">
      <c r="C490" s="3"/>
      <c r="D490" s="3"/>
      <c r="E490" s="3"/>
      <c r="F490" s="3"/>
    </row>
    <row r="491" spans="3:6" ht="13.2" x14ac:dyDescent="0.25">
      <c r="C491" s="3"/>
      <c r="D491" s="3"/>
      <c r="E491" s="3"/>
      <c r="F491" s="3"/>
    </row>
    <row r="492" spans="3:6" ht="13.2" x14ac:dyDescent="0.25">
      <c r="C492" s="3"/>
      <c r="D492" s="3"/>
      <c r="E492" s="3"/>
      <c r="F492" s="3"/>
    </row>
    <row r="493" spans="3:6" ht="13.2" x14ac:dyDescent="0.25">
      <c r="C493" s="3"/>
      <c r="D493" s="3"/>
      <c r="E493" s="3"/>
      <c r="F493" s="3"/>
    </row>
    <row r="494" spans="3:6" ht="13.2" x14ac:dyDescent="0.25">
      <c r="C494" s="3"/>
      <c r="D494" s="3"/>
      <c r="E494" s="3"/>
      <c r="F494" s="3"/>
    </row>
    <row r="495" spans="3:6" ht="13.2" x14ac:dyDescent="0.25">
      <c r="C495" s="3"/>
      <c r="D495" s="3"/>
      <c r="E495" s="3"/>
      <c r="F495" s="3"/>
    </row>
    <row r="496" spans="3:6" ht="13.2" x14ac:dyDescent="0.25">
      <c r="C496" s="3"/>
      <c r="D496" s="3"/>
      <c r="E496" s="3"/>
      <c r="F496" s="3"/>
    </row>
    <row r="497" spans="3:6" ht="13.2" x14ac:dyDescent="0.25">
      <c r="C497" s="3"/>
      <c r="D497" s="3"/>
      <c r="E497" s="3"/>
      <c r="F497" s="3"/>
    </row>
    <row r="498" spans="3:6" ht="13.2" x14ac:dyDescent="0.25">
      <c r="C498" s="3"/>
      <c r="D498" s="3"/>
      <c r="E498" s="3"/>
      <c r="F498" s="3"/>
    </row>
    <row r="499" spans="3:6" ht="13.2" x14ac:dyDescent="0.25">
      <c r="C499" s="3"/>
      <c r="D499" s="3"/>
      <c r="E499" s="3"/>
      <c r="F499" s="3"/>
    </row>
    <row r="500" spans="3:6" ht="13.2" x14ac:dyDescent="0.25">
      <c r="C500" s="3"/>
      <c r="D500" s="3"/>
      <c r="E500" s="3"/>
      <c r="F500" s="3"/>
    </row>
    <row r="501" spans="3:6" ht="13.2" x14ac:dyDescent="0.25">
      <c r="C501" s="3"/>
      <c r="D501" s="3"/>
      <c r="E501" s="3"/>
      <c r="F501" s="3"/>
    </row>
    <row r="502" spans="3:6" ht="13.2" x14ac:dyDescent="0.25">
      <c r="C502" s="3"/>
      <c r="D502" s="3"/>
      <c r="E502" s="3"/>
      <c r="F502" s="3"/>
    </row>
    <row r="503" spans="3:6" ht="13.2" x14ac:dyDescent="0.25">
      <c r="C503" s="3"/>
      <c r="D503" s="3"/>
      <c r="E503" s="3"/>
      <c r="F503" s="3"/>
    </row>
    <row r="504" spans="3:6" ht="13.2" x14ac:dyDescent="0.25">
      <c r="C504" s="3"/>
      <c r="D504" s="3"/>
      <c r="E504" s="3"/>
      <c r="F504" s="3"/>
    </row>
    <row r="505" spans="3:6" ht="13.2" x14ac:dyDescent="0.25">
      <c r="C505" s="3"/>
      <c r="D505" s="3"/>
      <c r="E505" s="3"/>
      <c r="F505" s="3"/>
    </row>
    <row r="506" spans="3:6" ht="13.2" x14ac:dyDescent="0.25">
      <c r="C506" s="3"/>
      <c r="D506" s="3"/>
      <c r="E506" s="3"/>
      <c r="F506" s="3"/>
    </row>
    <row r="507" spans="3:6" ht="13.2" x14ac:dyDescent="0.25">
      <c r="C507" s="3"/>
      <c r="D507" s="3"/>
      <c r="E507" s="3"/>
      <c r="F507" s="3"/>
    </row>
    <row r="508" spans="3:6" ht="13.2" x14ac:dyDescent="0.25">
      <c r="C508" s="3"/>
      <c r="D508" s="3"/>
      <c r="E508" s="3"/>
      <c r="F508" s="3"/>
    </row>
    <row r="509" spans="3:6" ht="13.2" x14ac:dyDescent="0.25">
      <c r="C509" s="3"/>
      <c r="D509" s="3"/>
      <c r="E509" s="3"/>
      <c r="F509" s="3"/>
    </row>
    <row r="510" spans="3:6" ht="13.2" x14ac:dyDescent="0.25">
      <c r="C510" s="3"/>
      <c r="D510" s="3"/>
      <c r="E510" s="3"/>
      <c r="F510" s="3"/>
    </row>
    <row r="511" spans="3:6" ht="13.2" x14ac:dyDescent="0.25">
      <c r="C511" s="3"/>
      <c r="D511" s="3"/>
      <c r="E511" s="3"/>
      <c r="F511" s="3"/>
    </row>
    <row r="512" spans="3:6" ht="13.2" x14ac:dyDescent="0.25">
      <c r="C512" s="3"/>
      <c r="D512" s="3"/>
      <c r="E512" s="3"/>
      <c r="F512" s="3"/>
    </row>
    <row r="513" spans="3:6" ht="13.2" x14ac:dyDescent="0.25">
      <c r="C513" s="3"/>
      <c r="D513" s="3"/>
      <c r="E513" s="3"/>
      <c r="F513" s="3"/>
    </row>
    <row r="514" spans="3:6" ht="13.2" x14ac:dyDescent="0.25">
      <c r="C514" s="3"/>
      <c r="D514" s="3"/>
      <c r="E514" s="3"/>
      <c r="F514" s="3"/>
    </row>
    <row r="515" spans="3:6" ht="13.2" x14ac:dyDescent="0.25">
      <c r="C515" s="3"/>
      <c r="D515" s="3"/>
      <c r="E515" s="3"/>
      <c r="F515" s="3"/>
    </row>
    <row r="516" spans="3:6" ht="13.2" x14ac:dyDescent="0.25">
      <c r="C516" s="3"/>
      <c r="D516" s="3"/>
      <c r="E516" s="3"/>
      <c r="F516" s="3"/>
    </row>
    <row r="517" spans="3:6" ht="13.2" x14ac:dyDescent="0.25">
      <c r="C517" s="3"/>
      <c r="D517" s="3"/>
      <c r="E517" s="3"/>
      <c r="F517" s="3"/>
    </row>
    <row r="518" spans="3:6" ht="13.2" x14ac:dyDescent="0.25">
      <c r="C518" s="3"/>
      <c r="D518" s="3"/>
      <c r="E518" s="3"/>
      <c r="F518" s="3"/>
    </row>
    <row r="519" spans="3:6" ht="13.2" x14ac:dyDescent="0.25">
      <c r="C519" s="3"/>
      <c r="D519" s="3"/>
      <c r="E519" s="3"/>
      <c r="F519" s="3"/>
    </row>
    <row r="520" spans="3:6" ht="13.2" x14ac:dyDescent="0.25">
      <c r="C520" s="3"/>
      <c r="D520" s="3"/>
      <c r="E520" s="3"/>
      <c r="F520" s="3"/>
    </row>
    <row r="521" spans="3:6" ht="13.2" x14ac:dyDescent="0.25">
      <c r="C521" s="3"/>
      <c r="D521" s="3"/>
      <c r="E521" s="3"/>
      <c r="F521" s="3"/>
    </row>
    <row r="522" spans="3:6" ht="13.2" x14ac:dyDescent="0.25">
      <c r="C522" s="3"/>
      <c r="D522" s="3"/>
      <c r="E522" s="3"/>
      <c r="F522" s="3"/>
    </row>
    <row r="523" spans="3:6" ht="13.2" x14ac:dyDescent="0.25">
      <c r="C523" s="3"/>
      <c r="D523" s="3"/>
      <c r="E523" s="3"/>
      <c r="F523" s="3"/>
    </row>
    <row r="524" spans="3:6" ht="13.2" x14ac:dyDescent="0.25">
      <c r="C524" s="3"/>
      <c r="D524" s="3"/>
      <c r="E524" s="3"/>
      <c r="F524" s="3"/>
    </row>
    <row r="525" spans="3:6" ht="13.2" x14ac:dyDescent="0.25">
      <c r="C525" s="3"/>
      <c r="D525" s="3"/>
      <c r="E525" s="3"/>
      <c r="F525" s="3"/>
    </row>
    <row r="526" spans="3:6" ht="13.2" x14ac:dyDescent="0.25">
      <c r="C526" s="3"/>
      <c r="D526" s="3"/>
      <c r="E526" s="3"/>
      <c r="F526" s="3"/>
    </row>
    <row r="527" spans="3:6" ht="13.2" x14ac:dyDescent="0.25">
      <c r="C527" s="3"/>
      <c r="D527" s="3"/>
      <c r="E527" s="3"/>
      <c r="F527" s="3"/>
    </row>
    <row r="528" spans="3:6" ht="13.2" x14ac:dyDescent="0.25">
      <c r="C528" s="3"/>
      <c r="D528" s="3"/>
      <c r="E528" s="3"/>
      <c r="F528" s="3"/>
    </row>
    <row r="529" spans="3:6" ht="13.2" x14ac:dyDescent="0.25">
      <c r="C529" s="3"/>
      <c r="D529" s="3"/>
      <c r="E529" s="3"/>
      <c r="F529" s="3"/>
    </row>
    <row r="530" spans="3:6" ht="13.2" x14ac:dyDescent="0.25">
      <c r="C530" s="3"/>
      <c r="D530" s="3"/>
      <c r="E530" s="3"/>
      <c r="F530" s="3"/>
    </row>
    <row r="531" spans="3:6" ht="13.2" x14ac:dyDescent="0.25">
      <c r="C531" s="3"/>
      <c r="D531" s="3"/>
      <c r="E531" s="3"/>
      <c r="F531" s="3"/>
    </row>
    <row r="532" spans="3:6" ht="13.2" x14ac:dyDescent="0.25">
      <c r="C532" s="3"/>
      <c r="D532" s="3"/>
      <c r="E532" s="3"/>
      <c r="F532" s="3"/>
    </row>
    <row r="533" spans="3:6" ht="13.2" x14ac:dyDescent="0.25">
      <c r="C533" s="3"/>
      <c r="D533" s="3"/>
      <c r="E533" s="3"/>
      <c r="F533" s="3"/>
    </row>
    <row r="534" spans="3:6" ht="13.2" x14ac:dyDescent="0.25">
      <c r="C534" s="3"/>
      <c r="D534" s="3"/>
      <c r="E534" s="3"/>
      <c r="F534" s="3"/>
    </row>
    <row r="535" spans="3:6" ht="13.2" x14ac:dyDescent="0.25">
      <c r="C535" s="3"/>
      <c r="D535" s="3"/>
      <c r="E535" s="3"/>
      <c r="F535" s="3"/>
    </row>
    <row r="536" spans="3:6" ht="13.2" x14ac:dyDescent="0.25">
      <c r="C536" s="3"/>
      <c r="D536" s="3"/>
      <c r="E536" s="3"/>
      <c r="F536" s="3"/>
    </row>
    <row r="537" spans="3:6" ht="13.2" x14ac:dyDescent="0.25">
      <c r="C537" s="3"/>
      <c r="D537" s="3"/>
      <c r="E537" s="3"/>
      <c r="F537" s="3"/>
    </row>
    <row r="538" spans="3:6" ht="13.2" x14ac:dyDescent="0.25">
      <c r="C538" s="3"/>
      <c r="D538" s="3"/>
      <c r="E538" s="3"/>
      <c r="F538" s="3"/>
    </row>
    <row r="539" spans="3:6" ht="13.2" x14ac:dyDescent="0.25">
      <c r="C539" s="3"/>
      <c r="D539" s="3"/>
      <c r="E539" s="3"/>
      <c r="F539" s="3"/>
    </row>
    <row r="540" spans="3:6" ht="13.2" x14ac:dyDescent="0.25">
      <c r="C540" s="3"/>
      <c r="D540" s="3"/>
      <c r="E540" s="3"/>
      <c r="F540" s="3"/>
    </row>
    <row r="541" spans="3:6" ht="13.2" x14ac:dyDescent="0.25">
      <c r="C541" s="3"/>
      <c r="D541" s="3"/>
      <c r="E541" s="3"/>
      <c r="F541" s="3"/>
    </row>
    <row r="542" spans="3:6" ht="13.2" x14ac:dyDescent="0.25">
      <c r="C542" s="3"/>
      <c r="D542" s="3"/>
      <c r="E542" s="3"/>
      <c r="F542" s="3"/>
    </row>
    <row r="543" spans="3:6" ht="13.2" x14ac:dyDescent="0.25">
      <c r="C543" s="3"/>
      <c r="D543" s="3"/>
      <c r="E543" s="3"/>
      <c r="F543" s="3"/>
    </row>
    <row r="544" spans="3:6" ht="13.2" x14ac:dyDescent="0.25">
      <c r="C544" s="3"/>
      <c r="D544" s="3"/>
      <c r="E544" s="3"/>
      <c r="F544" s="3"/>
    </row>
    <row r="545" spans="3:6" ht="13.2" x14ac:dyDescent="0.25">
      <c r="C545" s="3"/>
      <c r="D545" s="3"/>
      <c r="E545" s="3"/>
      <c r="F545" s="3"/>
    </row>
    <row r="546" spans="3:6" ht="13.2" x14ac:dyDescent="0.25">
      <c r="C546" s="3"/>
      <c r="D546" s="3"/>
      <c r="E546" s="3"/>
      <c r="F546" s="3"/>
    </row>
    <row r="547" spans="3:6" ht="13.2" x14ac:dyDescent="0.25">
      <c r="C547" s="3"/>
      <c r="D547" s="3"/>
      <c r="E547" s="3"/>
      <c r="F547" s="3"/>
    </row>
    <row r="548" spans="3:6" ht="13.2" x14ac:dyDescent="0.25">
      <c r="C548" s="3"/>
      <c r="D548" s="3"/>
      <c r="E548" s="3"/>
      <c r="F548" s="3"/>
    </row>
    <row r="549" spans="3:6" ht="13.2" x14ac:dyDescent="0.25">
      <c r="C549" s="3"/>
      <c r="D549" s="3"/>
      <c r="E549" s="3"/>
      <c r="F549" s="3"/>
    </row>
    <row r="550" spans="3:6" ht="13.2" x14ac:dyDescent="0.25">
      <c r="C550" s="3"/>
      <c r="D550" s="3"/>
      <c r="E550" s="3"/>
      <c r="F550" s="3"/>
    </row>
    <row r="551" spans="3:6" ht="13.2" x14ac:dyDescent="0.25">
      <c r="C551" s="3"/>
      <c r="D551" s="3"/>
      <c r="E551" s="3"/>
      <c r="F551" s="3"/>
    </row>
    <row r="552" spans="3:6" ht="13.2" x14ac:dyDescent="0.25">
      <c r="C552" s="3"/>
      <c r="D552" s="3"/>
      <c r="E552" s="3"/>
      <c r="F552" s="3"/>
    </row>
    <row r="553" spans="3:6" ht="13.2" x14ac:dyDescent="0.25">
      <c r="C553" s="3"/>
      <c r="D553" s="3"/>
      <c r="E553" s="3"/>
      <c r="F553" s="3"/>
    </row>
    <row r="554" spans="3:6" ht="13.2" x14ac:dyDescent="0.25">
      <c r="C554" s="3"/>
      <c r="D554" s="3"/>
      <c r="E554" s="3"/>
      <c r="F554" s="3"/>
    </row>
    <row r="555" spans="3:6" ht="13.2" x14ac:dyDescent="0.25">
      <c r="C555" s="3"/>
      <c r="D555" s="3"/>
      <c r="E555" s="3"/>
      <c r="F555" s="3"/>
    </row>
    <row r="556" spans="3:6" ht="13.2" x14ac:dyDescent="0.25">
      <c r="C556" s="3"/>
      <c r="D556" s="3"/>
      <c r="E556" s="3"/>
      <c r="F556" s="3"/>
    </row>
    <row r="557" spans="3:6" ht="13.2" x14ac:dyDescent="0.25">
      <c r="C557" s="3"/>
      <c r="D557" s="3"/>
      <c r="E557" s="3"/>
      <c r="F557" s="3"/>
    </row>
    <row r="558" spans="3:6" ht="13.2" x14ac:dyDescent="0.25">
      <c r="C558" s="3"/>
      <c r="D558" s="3"/>
      <c r="E558" s="3"/>
      <c r="F558" s="3"/>
    </row>
    <row r="559" spans="3:6" ht="13.2" x14ac:dyDescent="0.25">
      <c r="C559" s="3"/>
      <c r="D559" s="3"/>
      <c r="E559" s="3"/>
      <c r="F559" s="3"/>
    </row>
    <row r="560" spans="3:6" ht="13.2" x14ac:dyDescent="0.25">
      <c r="C560" s="3"/>
      <c r="D560" s="3"/>
      <c r="E560" s="3"/>
      <c r="F560" s="3"/>
    </row>
    <row r="561" spans="3:6" ht="13.2" x14ac:dyDescent="0.25">
      <c r="C561" s="3"/>
      <c r="D561" s="3"/>
      <c r="E561" s="3"/>
      <c r="F561" s="3"/>
    </row>
    <row r="562" spans="3:6" ht="13.2" x14ac:dyDescent="0.25">
      <c r="C562" s="3"/>
      <c r="D562" s="3"/>
      <c r="E562" s="3"/>
      <c r="F562" s="3"/>
    </row>
    <row r="563" spans="3:6" ht="13.2" x14ac:dyDescent="0.25">
      <c r="C563" s="3"/>
      <c r="D563" s="3"/>
      <c r="E563" s="3"/>
      <c r="F563" s="3"/>
    </row>
    <row r="564" spans="3:6" ht="13.2" x14ac:dyDescent="0.25">
      <c r="C564" s="3"/>
      <c r="D564" s="3"/>
      <c r="E564" s="3"/>
      <c r="F564" s="3"/>
    </row>
    <row r="565" spans="3:6" ht="13.2" x14ac:dyDescent="0.25">
      <c r="C565" s="3"/>
      <c r="D565" s="3"/>
      <c r="E565" s="3"/>
      <c r="F565" s="3"/>
    </row>
    <row r="566" spans="3:6" ht="13.2" x14ac:dyDescent="0.25">
      <c r="C566" s="3"/>
      <c r="D566" s="3"/>
      <c r="E566" s="3"/>
      <c r="F566" s="3"/>
    </row>
    <row r="567" spans="3:6" ht="13.2" x14ac:dyDescent="0.25">
      <c r="C567" s="3"/>
      <c r="D567" s="3"/>
      <c r="E567" s="3"/>
      <c r="F567" s="3"/>
    </row>
    <row r="568" spans="3:6" ht="13.2" x14ac:dyDescent="0.25">
      <c r="C568" s="3"/>
      <c r="D568" s="3"/>
      <c r="E568" s="3"/>
      <c r="F568" s="3"/>
    </row>
    <row r="569" spans="3:6" ht="13.2" x14ac:dyDescent="0.25">
      <c r="C569" s="3"/>
      <c r="D569" s="3"/>
      <c r="E569" s="3"/>
      <c r="F569" s="3"/>
    </row>
    <row r="570" spans="3:6" ht="13.2" x14ac:dyDescent="0.25">
      <c r="C570" s="3"/>
      <c r="D570" s="3"/>
      <c r="E570" s="3"/>
      <c r="F570" s="3"/>
    </row>
    <row r="571" spans="3:6" ht="13.2" x14ac:dyDescent="0.25">
      <c r="C571" s="3"/>
      <c r="D571" s="3"/>
      <c r="E571" s="3"/>
      <c r="F571" s="3"/>
    </row>
    <row r="572" spans="3:6" ht="13.2" x14ac:dyDescent="0.25">
      <c r="C572" s="3"/>
      <c r="D572" s="3"/>
      <c r="E572" s="3"/>
      <c r="F572" s="3"/>
    </row>
    <row r="573" spans="3:6" ht="13.2" x14ac:dyDescent="0.25">
      <c r="C573" s="3"/>
      <c r="D573" s="3"/>
      <c r="E573" s="3"/>
      <c r="F573" s="3"/>
    </row>
    <row r="574" spans="3:6" ht="13.2" x14ac:dyDescent="0.25">
      <c r="C574" s="3"/>
      <c r="D574" s="3"/>
      <c r="E574" s="3"/>
      <c r="F574" s="3"/>
    </row>
    <row r="575" spans="3:6" ht="13.2" x14ac:dyDescent="0.25">
      <c r="C575" s="3"/>
      <c r="D575" s="3"/>
      <c r="E575" s="3"/>
      <c r="F575" s="3"/>
    </row>
    <row r="576" spans="3:6" ht="13.2" x14ac:dyDescent="0.25">
      <c r="C576" s="3"/>
      <c r="D576" s="3"/>
      <c r="E576" s="3"/>
      <c r="F576" s="3"/>
    </row>
    <row r="577" spans="3:6" ht="13.2" x14ac:dyDescent="0.25">
      <c r="C577" s="3"/>
      <c r="D577" s="3"/>
      <c r="E577" s="3"/>
      <c r="F577" s="3"/>
    </row>
    <row r="578" spans="3:6" ht="13.2" x14ac:dyDescent="0.25">
      <c r="C578" s="3"/>
      <c r="D578" s="3"/>
      <c r="E578" s="3"/>
      <c r="F578" s="3"/>
    </row>
    <row r="579" spans="3:6" ht="13.2" x14ac:dyDescent="0.25">
      <c r="C579" s="3"/>
      <c r="D579" s="3"/>
      <c r="E579" s="3"/>
      <c r="F579" s="3"/>
    </row>
    <row r="580" spans="3:6" ht="13.2" x14ac:dyDescent="0.25">
      <c r="C580" s="3"/>
      <c r="D580" s="3"/>
      <c r="E580" s="3"/>
      <c r="F580" s="3"/>
    </row>
    <row r="581" spans="3:6" ht="13.2" x14ac:dyDescent="0.25">
      <c r="C581" s="3"/>
      <c r="D581" s="3"/>
      <c r="E581" s="3"/>
      <c r="F581" s="3"/>
    </row>
    <row r="582" spans="3:6" ht="13.2" x14ac:dyDescent="0.25">
      <c r="C582" s="3"/>
      <c r="D582" s="3"/>
      <c r="E582" s="3"/>
      <c r="F582" s="3"/>
    </row>
    <row r="583" spans="3:6" ht="13.2" x14ac:dyDescent="0.25">
      <c r="C583" s="3"/>
      <c r="D583" s="3"/>
      <c r="E583" s="3"/>
      <c r="F583" s="3"/>
    </row>
    <row r="584" spans="3:6" ht="13.2" x14ac:dyDescent="0.25">
      <c r="C584" s="3"/>
      <c r="D584" s="3"/>
      <c r="E584" s="3"/>
      <c r="F584" s="3"/>
    </row>
    <row r="585" spans="3:6" ht="13.2" x14ac:dyDescent="0.25">
      <c r="C585" s="3"/>
      <c r="D585" s="3"/>
      <c r="E585" s="3"/>
      <c r="F585" s="3"/>
    </row>
    <row r="586" spans="3:6" ht="13.2" x14ac:dyDescent="0.25">
      <c r="C586" s="3"/>
      <c r="D586" s="3"/>
      <c r="E586" s="3"/>
      <c r="F586" s="3"/>
    </row>
    <row r="587" spans="3:6" ht="13.2" x14ac:dyDescent="0.25">
      <c r="C587" s="3"/>
      <c r="D587" s="3"/>
      <c r="E587" s="3"/>
      <c r="F587" s="3"/>
    </row>
    <row r="588" spans="3:6" ht="13.2" x14ac:dyDescent="0.25">
      <c r="C588" s="3"/>
      <c r="D588" s="3"/>
      <c r="E588" s="3"/>
      <c r="F588" s="3"/>
    </row>
    <row r="589" spans="3:6" ht="13.2" x14ac:dyDescent="0.25">
      <c r="C589" s="3"/>
      <c r="D589" s="3"/>
      <c r="E589" s="3"/>
      <c r="F589" s="3"/>
    </row>
    <row r="590" spans="3:6" ht="13.2" x14ac:dyDescent="0.25">
      <c r="C590" s="3"/>
      <c r="D590" s="3"/>
      <c r="E590" s="3"/>
      <c r="F590" s="3"/>
    </row>
    <row r="591" spans="3:6" ht="13.2" x14ac:dyDescent="0.25">
      <c r="C591" s="3"/>
      <c r="D591" s="3"/>
      <c r="E591" s="3"/>
      <c r="F591" s="3"/>
    </row>
    <row r="592" spans="3:6" ht="13.2" x14ac:dyDescent="0.25">
      <c r="C592" s="3"/>
      <c r="D592" s="3"/>
      <c r="E592" s="3"/>
      <c r="F592" s="3"/>
    </row>
    <row r="593" spans="3:6" ht="13.2" x14ac:dyDescent="0.25">
      <c r="C593" s="3"/>
      <c r="D593" s="3"/>
      <c r="E593" s="3"/>
      <c r="F593" s="3"/>
    </row>
    <row r="594" spans="3:6" ht="13.2" x14ac:dyDescent="0.25">
      <c r="C594" s="3"/>
      <c r="D594" s="3"/>
      <c r="E594" s="3"/>
      <c r="F594" s="3"/>
    </row>
    <row r="595" spans="3:6" ht="13.2" x14ac:dyDescent="0.25">
      <c r="C595" s="3"/>
      <c r="D595" s="3"/>
      <c r="E595" s="3"/>
      <c r="F595" s="3"/>
    </row>
    <row r="596" spans="3:6" ht="13.2" x14ac:dyDescent="0.25">
      <c r="C596" s="3"/>
      <c r="D596" s="3"/>
      <c r="E596" s="3"/>
      <c r="F596" s="3"/>
    </row>
    <row r="597" spans="3:6" ht="13.2" x14ac:dyDescent="0.25">
      <c r="C597" s="3"/>
      <c r="D597" s="3"/>
      <c r="E597" s="3"/>
      <c r="F597" s="3"/>
    </row>
    <row r="598" spans="3:6" ht="13.2" x14ac:dyDescent="0.25">
      <c r="C598" s="3"/>
      <c r="D598" s="3"/>
      <c r="E598" s="3"/>
      <c r="F598" s="3"/>
    </row>
    <row r="599" spans="3:6" ht="13.2" x14ac:dyDescent="0.25">
      <c r="C599" s="3"/>
      <c r="D599" s="3"/>
      <c r="E599" s="3"/>
      <c r="F599" s="3"/>
    </row>
    <row r="600" spans="3:6" ht="13.2" x14ac:dyDescent="0.25">
      <c r="C600" s="3"/>
      <c r="D600" s="3"/>
      <c r="E600" s="3"/>
      <c r="F600" s="3"/>
    </row>
    <row r="601" spans="3:6" ht="13.2" x14ac:dyDescent="0.25">
      <c r="C601" s="3"/>
      <c r="D601" s="3"/>
      <c r="E601" s="3"/>
      <c r="F601" s="3"/>
    </row>
    <row r="602" spans="3:6" ht="13.2" x14ac:dyDescent="0.25">
      <c r="C602" s="3"/>
      <c r="D602" s="3"/>
      <c r="E602" s="3"/>
      <c r="F602" s="3"/>
    </row>
    <row r="603" spans="3:6" ht="13.2" x14ac:dyDescent="0.25">
      <c r="C603" s="3"/>
      <c r="D603" s="3"/>
      <c r="E603" s="3"/>
      <c r="F603" s="3"/>
    </row>
    <row r="604" spans="3:6" ht="13.2" x14ac:dyDescent="0.25">
      <c r="C604" s="3"/>
      <c r="D604" s="3"/>
      <c r="E604" s="3"/>
      <c r="F604" s="3"/>
    </row>
    <row r="605" spans="3:6" ht="13.2" x14ac:dyDescent="0.25">
      <c r="C605" s="3"/>
      <c r="D605" s="3"/>
      <c r="E605" s="3"/>
      <c r="F605" s="3"/>
    </row>
    <row r="606" spans="3:6" ht="13.2" x14ac:dyDescent="0.25">
      <c r="C606" s="3"/>
      <c r="D606" s="3"/>
      <c r="E606" s="3"/>
      <c r="F606" s="3"/>
    </row>
    <row r="607" spans="3:6" ht="13.2" x14ac:dyDescent="0.25">
      <c r="C607" s="3"/>
      <c r="D607" s="3"/>
      <c r="E607" s="3"/>
      <c r="F607" s="3"/>
    </row>
    <row r="608" spans="3:6" ht="13.2" x14ac:dyDescent="0.25">
      <c r="C608" s="3"/>
      <c r="D608" s="3"/>
      <c r="E608" s="3"/>
      <c r="F608" s="3"/>
    </row>
    <row r="609" spans="3:6" ht="13.2" x14ac:dyDescent="0.25">
      <c r="C609" s="3"/>
      <c r="D609" s="3"/>
      <c r="E609" s="3"/>
      <c r="F609" s="3"/>
    </row>
    <row r="610" spans="3:6" ht="13.2" x14ac:dyDescent="0.25">
      <c r="C610" s="3"/>
      <c r="D610" s="3"/>
      <c r="E610" s="3"/>
      <c r="F610" s="3"/>
    </row>
    <row r="611" spans="3:6" ht="13.2" x14ac:dyDescent="0.25">
      <c r="C611" s="3"/>
      <c r="D611" s="3"/>
      <c r="E611" s="3"/>
      <c r="F611" s="3"/>
    </row>
    <row r="612" spans="3:6" ht="13.2" x14ac:dyDescent="0.25">
      <c r="C612" s="3"/>
      <c r="D612" s="3"/>
      <c r="E612" s="3"/>
      <c r="F612" s="3"/>
    </row>
    <row r="613" spans="3:6" ht="13.2" x14ac:dyDescent="0.25">
      <c r="C613" s="3"/>
      <c r="D613" s="3"/>
      <c r="E613" s="3"/>
      <c r="F613" s="3"/>
    </row>
    <row r="614" spans="3:6" ht="13.2" x14ac:dyDescent="0.25">
      <c r="C614" s="3"/>
      <c r="D614" s="3"/>
      <c r="E614" s="3"/>
      <c r="F614" s="3"/>
    </row>
    <row r="615" spans="3:6" ht="13.2" x14ac:dyDescent="0.25">
      <c r="C615" s="3"/>
      <c r="D615" s="3"/>
      <c r="E615" s="3"/>
      <c r="F615" s="3"/>
    </row>
    <row r="616" spans="3:6" ht="13.2" x14ac:dyDescent="0.25">
      <c r="C616" s="3"/>
      <c r="D616" s="3"/>
      <c r="E616" s="3"/>
      <c r="F616" s="3"/>
    </row>
    <row r="617" spans="3:6" ht="13.2" x14ac:dyDescent="0.25">
      <c r="C617" s="3"/>
      <c r="D617" s="3"/>
      <c r="E617" s="3"/>
      <c r="F617" s="3"/>
    </row>
    <row r="618" spans="3:6" ht="13.2" x14ac:dyDescent="0.25">
      <c r="C618" s="3"/>
      <c r="D618" s="3"/>
      <c r="E618" s="3"/>
      <c r="F618" s="3"/>
    </row>
    <row r="619" spans="3:6" ht="13.2" x14ac:dyDescent="0.25">
      <c r="C619" s="3"/>
      <c r="D619" s="3"/>
      <c r="E619" s="3"/>
      <c r="F619" s="3"/>
    </row>
    <row r="620" spans="3:6" ht="13.2" x14ac:dyDescent="0.25">
      <c r="C620" s="3"/>
      <c r="D620" s="3"/>
      <c r="E620" s="3"/>
      <c r="F620" s="3"/>
    </row>
    <row r="621" spans="3:6" ht="13.2" x14ac:dyDescent="0.25">
      <c r="C621" s="3"/>
      <c r="D621" s="3"/>
      <c r="E621" s="3"/>
      <c r="F621" s="3"/>
    </row>
    <row r="622" spans="3:6" ht="13.2" x14ac:dyDescent="0.25">
      <c r="C622" s="3"/>
      <c r="D622" s="3"/>
      <c r="E622" s="3"/>
      <c r="F622" s="3"/>
    </row>
    <row r="623" spans="3:6" ht="13.2" x14ac:dyDescent="0.25">
      <c r="C623" s="3"/>
      <c r="D623" s="3"/>
      <c r="E623" s="3"/>
      <c r="F623" s="3"/>
    </row>
    <row r="624" spans="3:6" ht="13.2" x14ac:dyDescent="0.25">
      <c r="C624" s="3"/>
      <c r="D624" s="3"/>
      <c r="E624" s="3"/>
      <c r="F624" s="3"/>
    </row>
    <row r="625" spans="3:6" ht="13.2" x14ac:dyDescent="0.25">
      <c r="C625" s="3"/>
      <c r="D625" s="3"/>
      <c r="E625" s="3"/>
      <c r="F625" s="3"/>
    </row>
    <row r="626" spans="3:6" ht="13.2" x14ac:dyDescent="0.25">
      <c r="C626" s="3"/>
      <c r="D626" s="3"/>
      <c r="E626" s="3"/>
      <c r="F626" s="3"/>
    </row>
    <row r="627" spans="3:6" ht="13.2" x14ac:dyDescent="0.25">
      <c r="C627" s="3"/>
      <c r="D627" s="3"/>
      <c r="E627" s="3"/>
      <c r="F627" s="3"/>
    </row>
    <row r="628" spans="3:6" ht="13.2" x14ac:dyDescent="0.25">
      <c r="C628" s="3"/>
      <c r="D628" s="3"/>
      <c r="E628" s="3"/>
      <c r="F628" s="3"/>
    </row>
    <row r="629" spans="3:6" ht="13.2" x14ac:dyDescent="0.25">
      <c r="C629" s="3"/>
      <c r="D629" s="3"/>
      <c r="E629" s="3"/>
      <c r="F629" s="3"/>
    </row>
    <row r="630" spans="3:6" ht="13.2" x14ac:dyDescent="0.25">
      <c r="C630" s="3"/>
      <c r="D630" s="3"/>
      <c r="E630" s="3"/>
      <c r="F630" s="3"/>
    </row>
    <row r="631" spans="3:6" ht="13.2" x14ac:dyDescent="0.25">
      <c r="C631" s="3"/>
      <c r="D631" s="3"/>
      <c r="E631" s="3"/>
      <c r="F631" s="3"/>
    </row>
    <row r="632" spans="3:6" ht="13.2" x14ac:dyDescent="0.25">
      <c r="C632" s="3"/>
      <c r="D632" s="3"/>
      <c r="E632" s="3"/>
      <c r="F632" s="3"/>
    </row>
    <row r="633" spans="3:6" ht="13.2" x14ac:dyDescent="0.25">
      <c r="C633" s="3"/>
      <c r="D633" s="3"/>
      <c r="E633" s="3"/>
      <c r="F633" s="3"/>
    </row>
    <row r="634" spans="3:6" ht="13.2" x14ac:dyDescent="0.25">
      <c r="C634" s="3"/>
      <c r="D634" s="3"/>
      <c r="E634" s="3"/>
      <c r="F634" s="3"/>
    </row>
    <row r="635" spans="3:6" ht="13.2" x14ac:dyDescent="0.25">
      <c r="C635" s="3"/>
      <c r="D635" s="3"/>
      <c r="E635" s="3"/>
      <c r="F635" s="3"/>
    </row>
    <row r="636" spans="3:6" ht="13.2" x14ac:dyDescent="0.25">
      <c r="C636" s="3"/>
      <c r="D636" s="3"/>
      <c r="E636" s="3"/>
      <c r="F636" s="3"/>
    </row>
    <row r="637" spans="3:6" ht="13.2" x14ac:dyDescent="0.25">
      <c r="C637" s="3"/>
      <c r="D637" s="3"/>
      <c r="E637" s="3"/>
      <c r="F637" s="3"/>
    </row>
    <row r="638" spans="3:6" ht="13.2" x14ac:dyDescent="0.25">
      <c r="C638" s="3"/>
      <c r="D638" s="3"/>
      <c r="E638" s="3"/>
      <c r="F638" s="3"/>
    </row>
    <row r="639" spans="3:6" ht="13.2" x14ac:dyDescent="0.25">
      <c r="C639" s="3"/>
      <c r="D639" s="3"/>
      <c r="E639" s="3"/>
      <c r="F639" s="3"/>
    </row>
    <row r="640" spans="3:6" ht="13.2" x14ac:dyDescent="0.25">
      <c r="C640" s="3"/>
      <c r="D640" s="3"/>
      <c r="E640" s="3"/>
      <c r="F640" s="3"/>
    </row>
    <row r="641" spans="3:6" ht="13.2" x14ac:dyDescent="0.25">
      <c r="C641" s="3"/>
      <c r="D641" s="3"/>
      <c r="E641" s="3"/>
      <c r="F641" s="3"/>
    </row>
    <row r="642" spans="3:6" ht="13.2" x14ac:dyDescent="0.25">
      <c r="C642" s="3"/>
      <c r="D642" s="3"/>
      <c r="E642" s="3"/>
      <c r="F642" s="3"/>
    </row>
    <row r="643" spans="3:6" ht="13.2" x14ac:dyDescent="0.25">
      <c r="C643" s="3"/>
      <c r="D643" s="3"/>
      <c r="E643" s="3"/>
      <c r="F643" s="3"/>
    </row>
    <row r="644" spans="3:6" ht="13.2" x14ac:dyDescent="0.25">
      <c r="C644" s="3"/>
      <c r="D644" s="3"/>
      <c r="E644" s="3"/>
      <c r="F644" s="3"/>
    </row>
    <row r="645" spans="3:6" ht="13.2" x14ac:dyDescent="0.25">
      <c r="C645" s="3"/>
      <c r="D645" s="3"/>
      <c r="E645" s="3"/>
      <c r="F645" s="3"/>
    </row>
    <row r="646" spans="3:6" ht="13.2" x14ac:dyDescent="0.25">
      <c r="C646" s="3"/>
      <c r="D646" s="3"/>
      <c r="E646" s="3"/>
      <c r="F646" s="3"/>
    </row>
    <row r="647" spans="3:6" ht="13.2" x14ac:dyDescent="0.25">
      <c r="C647" s="3"/>
      <c r="D647" s="3"/>
      <c r="E647" s="3"/>
      <c r="F647" s="3"/>
    </row>
    <row r="648" spans="3:6" ht="13.2" x14ac:dyDescent="0.25">
      <c r="C648" s="3"/>
      <c r="D648" s="3"/>
      <c r="E648" s="3"/>
      <c r="F648" s="3"/>
    </row>
    <row r="649" spans="3:6" ht="13.2" x14ac:dyDescent="0.25">
      <c r="C649" s="3"/>
      <c r="D649" s="3"/>
      <c r="E649" s="3"/>
      <c r="F649" s="3"/>
    </row>
    <row r="650" spans="3:6" ht="13.2" x14ac:dyDescent="0.25">
      <c r="C650" s="3"/>
      <c r="D650" s="3"/>
      <c r="E650" s="3"/>
      <c r="F650" s="3"/>
    </row>
    <row r="651" spans="3:6" ht="13.2" x14ac:dyDescent="0.25">
      <c r="C651" s="3"/>
      <c r="D651" s="3"/>
      <c r="E651" s="3"/>
      <c r="F651" s="3"/>
    </row>
    <row r="652" spans="3:6" ht="13.2" x14ac:dyDescent="0.25">
      <c r="C652" s="3"/>
      <c r="D652" s="3"/>
      <c r="E652" s="3"/>
      <c r="F652" s="3"/>
    </row>
    <row r="653" spans="3:6" ht="13.2" x14ac:dyDescent="0.25">
      <c r="C653" s="3"/>
      <c r="D653" s="3"/>
      <c r="E653" s="3"/>
      <c r="F653" s="3"/>
    </row>
    <row r="654" spans="3:6" ht="13.2" x14ac:dyDescent="0.25">
      <c r="C654" s="3"/>
      <c r="D654" s="3"/>
      <c r="E654" s="3"/>
      <c r="F654" s="3"/>
    </row>
    <row r="655" spans="3:6" ht="13.2" x14ac:dyDescent="0.25">
      <c r="C655" s="3"/>
      <c r="D655" s="3"/>
      <c r="E655" s="3"/>
      <c r="F655" s="3"/>
    </row>
    <row r="656" spans="3:6" ht="13.2" x14ac:dyDescent="0.25">
      <c r="C656" s="3"/>
      <c r="D656" s="3"/>
      <c r="E656" s="3"/>
      <c r="F656" s="3"/>
    </row>
    <row r="657" spans="3:6" ht="13.2" x14ac:dyDescent="0.25">
      <c r="C657" s="3"/>
      <c r="D657" s="3"/>
      <c r="E657" s="3"/>
      <c r="F657" s="3"/>
    </row>
    <row r="658" spans="3:6" ht="13.2" x14ac:dyDescent="0.25">
      <c r="C658" s="3"/>
      <c r="D658" s="3"/>
      <c r="E658" s="3"/>
      <c r="F658" s="3"/>
    </row>
    <row r="659" spans="3:6" ht="13.2" x14ac:dyDescent="0.25">
      <c r="C659" s="3"/>
      <c r="D659" s="3"/>
      <c r="E659" s="3"/>
      <c r="F659" s="3"/>
    </row>
    <row r="660" spans="3:6" ht="13.2" x14ac:dyDescent="0.25">
      <c r="C660" s="3"/>
      <c r="D660" s="3"/>
      <c r="E660" s="3"/>
      <c r="F660" s="3"/>
    </row>
    <row r="661" spans="3:6" ht="13.2" x14ac:dyDescent="0.25">
      <c r="C661" s="3"/>
      <c r="D661" s="3"/>
      <c r="E661" s="3"/>
      <c r="F661" s="3"/>
    </row>
    <row r="662" spans="3:6" ht="13.2" x14ac:dyDescent="0.25">
      <c r="C662" s="3"/>
      <c r="D662" s="3"/>
      <c r="E662" s="3"/>
      <c r="F662" s="3"/>
    </row>
    <row r="663" spans="3:6" ht="13.2" x14ac:dyDescent="0.25">
      <c r="C663" s="3"/>
      <c r="D663" s="3"/>
      <c r="E663" s="3"/>
      <c r="F663" s="3"/>
    </row>
    <row r="664" spans="3:6" ht="13.2" x14ac:dyDescent="0.25">
      <c r="C664" s="3"/>
      <c r="D664" s="3"/>
      <c r="E664" s="3"/>
      <c r="F664" s="3"/>
    </row>
    <row r="665" spans="3:6" ht="13.2" x14ac:dyDescent="0.25">
      <c r="C665" s="3"/>
      <c r="D665" s="3"/>
      <c r="E665" s="3"/>
      <c r="F665" s="3"/>
    </row>
    <row r="666" spans="3:6" ht="13.2" x14ac:dyDescent="0.25">
      <c r="C666" s="3"/>
      <c r="D666" s="3"/>
      <c r="E666" s="3"/>
      <c r="F666" s="3"/>
    </row>
    <row r="667" spans="3:6" ht="13.2" x14ac:dyDescent="0.25">
      <c r="C667" s="3"/>
      <c r="D667" s="3"/>
      <c r="E667" s="3"/>
      <c r="F667" s="3"/>
    </row>
    <row r="668" spans="3:6" ht="13.2" x14ac:dyDescent="0.25">
      <c r="C668" s="3"/>
      <c r="D668" s="3"/>
      <c r="E668" s="3"/>
      <c r="F668" s="3"/>
    </row>
    <row r="669" spans="3:6" ht="13.2" x14ac:dyDescent="0.25">
      <c r="C669" s="3"/>
      <c r="D669" s="3"/>
      <c r="E669" s="3"/>
      <c r="F669" s="3"/>
    </row>
    <row r="670" spans="3:6" ht="13.2" x14ac:dyDescent="0.25">
      <c r="C670" s="3"/>
      <c r="D670" s="3"/>
      <c r="E670" s="3"/>
      <c r="F670" s="3"/>
    </row>
    <row r="671" spans="3:6" ht="13.2" x14ac:dyDescent="0.25">
      <c r="C671" s="3"/>
      <c r="D671" s="3"/>
      <c r="E671" s="3"/>
      <c r="F671" s="3"/>
    </row>
    <row r="672" spans="3:6" ht="13.2" x14ac:dyDescent="0.25">
      <c r="C672" s="3"/>
      <c r="D672" s="3"/>
      <c r="E672" s="3"/>
      <c r="F672" s="3"/>
    </row>
    <row r="673" spans="3:6" ht="13.2" x14ac:dyDescent="0.25">
      <c r="C673" s="3"/>
      <c r="D673" s="3"/>
      <c r="E673" s="3"/>
      <c r="F673" s="3"/>
    </row>
    <row r="674" spans="3:6" ht="13.2" x14ac:dyDescent="0.25">
      <c r="C674" s="3"/>
      <c r="D674" s="3"/>
      <c r="E674" s="3"/>
      <c r="F674" s="3"/>
    </row>
    <row r="675" spans="3:6" ht="13.2" x14ac:dyDescent="0.25">
      <c r="C675" s="3"/>
      <c r="D675" s="3"/>
      <c r="E675" s="3"/>
      <c r="F675" s="3"/>
    </row>
    <row r="676" spans="3:6" ht="13.2" x14ac:dyDescent="0.25">
      <c r="C676" s="3"/>
      <c r="D676" s="3"/>
      <c r="E676" s="3"/>
      <c r="F676" s="3"/>
    </row>
    <row r="677" spans="3:6" ht="13.2" x14ac:dyDescent="0.25">
      <c r="C677" s="3"/>
      <c r="D677" s="3"/>
      <c r="E677" s="3"/>
      <c r="F677" s="3"/>
    </row>
    <row r="678" spans="3:6" ht="13.2" x14ac:dyDescent="0.25">
      <c r="C678" s="3"/>
      <c r="D678" s="3"/>
      <c r="E678" s="3"/>
      <c r="F678" s="3"/>
    </row>
    <row r="679" spans="3:6" ht="13.2" x14ac:dyDescent="0.25">
      <c r="C679" s="3"/>
      <c r="D679" s="3"/>
      <c r="E679" s="3"/>
      <c r="F679" s="3"/>
    </row>
    <row r="680" spans="3:6" ht="13.2" x14ac:dyDescent="0.25">
      <c r="C680" s="3"/>
      <c r="D680" s="3"/>
      <c r="E680" s="3"/>
      <c r="F680" s="3"/>
    </row>
    <row r="681" spans="3:6" ht="13.2" x14ac:dyDescent="0.25">
      <c r="C681" s="3"/>
      <c r="D681" s="3"/>
      <c r="E681" s="3"/>
      <c r="F681" s="3"/>
    </row>
    <row r="682" spans="3:6" ht="13.2" x14ac:dyDescent="0.25">
      <c r="C682" s="3"/>
      <c r="D682" s="3"/>
      <c r="E682" s="3"/>
      <c r="F682" s="3"/>
    </row>
    <row r="683" spans="3:6" ht="13.2" x14ac:dyDescent="0.25">
      <c r="C683" s="3"/>
      <c r="D683" s="3"/>
      <c r="E683" s="3"/>
      <c r="F683" s="3"/>
    </row>
    <row r="684" spans="3:6" ht="13.2" x14ac:dyDescent="0.25">
      <c r="C684" s="3"/>
      <c r="D684" s="3"/>
      <c r="E684" s="3"/>
      <c r="F684" s="3"/>
    </row>
    <row r="685" spans="3:6" ht="13.2" x14ac:dyDescent="0.25">
      <c r="C685" s="3"/>
      <c r="D685" s="3"/>
      <c r="E685" s="3"/>
      <c r="F685" s="3"/>
    </row>
    <row r="686" spans="3:6" ht="13.2" x14ac:dyDescent="0.25">
      <c r="C686" s="3"/>
      <c r="D686" s="3"/>
      <c r="E686" s="3"/>
      <c r="F686" s="3"/>
    </row>
    <row r="687" spans="3:6" ht="13.2" x14ac:dyDescent="0.25">
      <c r="C687" s="3"/>
      <c r="D687" s="3"/>
      <c r="E687" s="3"/>
      <c r="F687" s="3"/>
    </row>
    <row r="688" spans="3:6" ht="13.2" x14ac:dyDescent="0.25">
      <c r="C688" s="3"/>
      <c r="D688" s="3"/>
      <c r="E688" s="3"/>
      <c r="F688" s="3"/>
    </row>
    <row r="689" spans="3:6" ht="13.2" x14ac:dyDescent="0.25">
      <c r="C689" s="3"/>
      <c r="D689" s="3"/>
      <c r="E689" s="3"/>
      <c r="F689" s="3"/>
    </row>
    <row r="690" spans="3:6" ht="13.2" x14ac:dyDescent="0.25">
      <c r="C690" s="3"/>
      <c r="D690" s="3"/>
      <c r="E690" s="3"/>
      <c r="F690" s="3"/>
    </row>
    <row r="691" spans="3:6" ht="13.2" x14ac:dyDescent="0.25">
      <c r="C691" s="3"/>
      <c r="D691" s="3"/>
      <c r="E691" s="3"/>
      <c r="F691" s="3"/>
    </row>
    <row r="692" spans="3:6" ht="13.2" x14ac:dyDescent="0.25">
      <c r="C692" s="3"/>
      <c r="D692" s="3"/>
      <c r="E692" s="3"/>
      <c r="F692" s="3"/>
    </row>
    <row r="693" spans="3:6" ht="13.2" x14ac:dyDescent="0.25">
      <c r="C693" s="3"/>
      <c r="D693" s="3"/>
      <c r="E693" s="3"/>
      <c r="F693" s="3"/>
    </row>
    <row r="694" spans="3:6" ht="13.2" x14ac:dyDescent="0.25">
      <c r="C694" s="3"/>
      <c r="D694" s="3"/>
      <c r="E694" s="3"/>
      <c r="F694" s="3"/>
    </row>
    <row r="695" spans="3:6" ht="13.2" x14ac:dyDescent="0.25">
      <c r="C695" s="3"/>
      <c r="D695" s="3"/>
      <c r="E695" s="3"/>
      <c r="F695" s="3"/>
    </row>
    <row r="696" spans="3:6" ht="13.2" x14ac:dyDescent="0.25">
      <c r="C696" s="3"/>
      <c r="D696" s="3"/>
      <c r="E696" s="3"/>
      <c r="F696" s="3"/>
    </row>
    <row r="697" spans="3:6" ht="13.2" x14ac:dyDescent="0.25">
      <c r="C697" s="3"/>
      <c r="D697" s="3"/>
      <c r="E697" s="3"/>
      <c r="F697" s="3"/>
    </row>
    <row r="698" spans="3:6" ht="13.2" x14ac:dyDescent="0.25">
      <c r="C698" s="3"/>
      <c r="D698" s="3"/>
      <c r="E698" s="3"/>
      <c r="F698" s="3"/>
    </row>
    <row r="699" spans="3:6" ht="13.2" x14ac:dyDescent="0.25">
      <c r="C699" s="3"/>
      <c r="D699" s="3"/>
      <c r="E699" s="3"/>
      <c r="F699" s="3"/>
    </row>
    <row r="700" spans="3:6" ht="13.2" x14ac:dyDescent="0.25">
      <c r="C700" s="3"/>
      <c r="D700" s="3"/>
      <c r="E700" s="3"/>
      <c r="F700" s="3"/>
    </row>
    <row r="701" spans="3:6" ht="13.2" x14ac:dyDescent="0.25">
      <c r="C701" s="3"/>
      <c r="D701" s="3"/>
      <c r="E701" s="3"/>
      <c r="F701" s="3"/>
    </row>
    <row r="702" spans="3:6" ht="13.2" x14ac:dyDescent="0.25">
      <c r="C702" s="3"/>
      <c r="D702" s="3"/>
      <c r="E702" s="3"/>
      <c r="F702" s="3"/>
    </row>
    <row r="703" spans="3:6" ht="13.2" x14ac:dyDescent="0.25">
      <c r="C703" s="3"/>
      <c r="D703" s="3"/>
      <c r="E703" s="3"/>
      <c r="F703" s="3"/>
    </row>
    <row r="704" spans="3:6" ht="13.2" x14ac:dyDescent="0.25">
      <c r="C704" s="3"/>
      <c r="D704" s="3"/>
      <c r="E704" s="3"/>
      <c r="F704" s="3"/>
    </row>
    <row r="705" spans="3:6" ht="13.2" x14ac:dyDescent="0.25">
      <c r="C705" s="3"/>
      <c r="D705" s="3"/>
      <c r="E705" s="3"/>
      <c r="F705" s="3"/>
    </row>
    <row r="706" spans="3:6" ht="13.2" x14ac:dyDescent="0.25">
      <c r="C706" s="3"/>
      <c r="D706" s="3"/>
      <c r="E706" s="3"/>
      <c r="F706" s="3"/>
    </row>
    <row r="707" spans="3:6" ht="13.2" x14ac:dyDescent="0.25">
      <c r="C707" s="3"/>
      <c r="D707" s="3"/>
      <c r="E707" s="3"/>
      <c r="F707" s="3"/>
    </row>
    <row r="708" spans="3:6" ht="13.2" x14ac:dyDescent="0.25">
      <c r="C708" s="3"/>
      <c r="D708" s="3"/>
      <c r="E708" s="3"/>
      <c r="F708" s="3"/>
    </row>
    <row r="709" spans="3:6" ht="13.2" x14ac:dyDescent="0.25">
      <c r="C709" s="3"/>
      <c r="D709" s="3"/>
      <c r="E709" s="3"/>
      <c r="F709" s="3"/>
    </row>
    <row r="710" spans="3:6" ht="13.2" x14ac:dyDescent="0.25">
      <c r="C710" s="3"/>
      <c r="D710" s="3"/>
      <c r="E710" s="3"/>
      <c r="F710" s="3"/>
    </row>
    <row r="711" spans="3:6" ht="13.2" x14ac:dyDescent="0.25">
      <c r="C711" s="3"/>
      <c r="D711" s="3"/>
      <c r="E711" s="3"/>
      <c r="F711" s="3"/>
    </row>
    <row r="712" spans="3:6" ht="13.2" x14ac:dyDescent="0.25">
      <c r="C712" s="3"/>
      <c r="D712" s="3"/>
      <c r="E712" s="3"/>
      <c r="F712" s="3"/>
    </row>
    <row r="713" spans="3:6" ht="13.2" x14ac:dyDescent="0.25">
      <c r="C713" s="3"/>
      <c r="D713" s="3"/>
      <c r="E713" s="3"/>
      <c r="F713" s="3"/>
    </row>
    <row r="714" spans="3:6" ht="13.2" x14ac:dyDescent="0.25">
      <c r="C714" s="3"/>
      <c r="D714" s="3"/>
      <c r="E714" s="3"/>
      <c r="F714" s="3"/>
    </row>
    <row r="715" spans="3:6" ht="13.2" x14ac:dyDescent="0.25">
      <c r="C715" s="3"/>
      <c r="D715" s="3"/>
      <c r="E715" s="3"/>
      <c r="F715" s="3"/>
    </row>
    <row r="716" spans="3:6" ht="13.2" x14ac:dyDescent="0.25">
      <c r="C716" s="3"/>
      <c r="D716" s="3"/>
      <c r="E716" s="3"/>
      <c r="F716" s="3"/>
    </row>
    <row r="717" spans="3:6" ht="13.2" x14ac:dyDescent="0.25">
      <c r="C717" s="3"/>
      <c r="D717" s="3"/>
      <c r="E717" s="3"/>
      <c r="F717" s="3"/>
    </row>
    <row r="718" spans="3:6" ht="13.2" x14ac:dyDescent="0.25">
      <c r="C718" s="3"/>
      <c r="D718" s="3"/>
      <c r="E718" s="3"/>
      <c r="F718" s="3"/>
    </row>
    <row r="719" spans="3:6" ht="13.2" x14ac:dyDescent="0.25">
      <c r="C719" s="3"/>
      <c r="D719" s="3"/>
      <c r="E719" s="3"/>
      <c r="F719" s="3"/>
    </row>
    <row r="720" spans="3:6" ht="13.2" x14ac:dyDescent="0.25">
      <c r="C720" s="3"/>
      <c r="D720" s="3"/>
      <c r="E720" s="3"/>
      <c r="F720" s="3"/>
    </row>
    <row r="721" spans="3:6" ht="13.2" x14ac:dyDescent="0.25">
      <c r="C721" s="3"/>
      <c r="D721" s="3"/>
      <c r="E721" s="3"/>
      <c r="F721" s="3"/>
    </row>
    <row r="722" spans="3:6" ht="13.2" x14ac:dyDescent="0.25">
      <c r="C722" s="3"/>
      <c r="D722" s="3"/>
      <c r="E722" s="3"/>
      <c r="F722" s="3"/>
    </row>
    <row r="723" spans="3:6" ht="13.2" x14ac:dyDescent="0.25">
      <c r="C723" s="3"/>
      <c r="D723" s="3"/>
      <c r="E723" s="3"/>
      <c r="F723" s="3"/>
    </row>
    <row r="724" spans="3:6" ht="13.2" x14ac:dyDescent="0.25">
      <c r="C724" s="3"/>
      <c r="D724" s="3"/>
      <c r="E724" s="3"/>
      <c r="F724" s="3"/>
    </row>
    <row r="725" spans="3:6" ht="13.2" x14ac:dyDescent="0.25">
      <c r="C725" s="3"/>
      <c r="D725" s="3"/>
      <c r="E725" s="3"/>
      <c r="F725" s="3"/>
    </row>
    <row r="726" spans="3:6" ht="13.2" x14ac:dyDescent="0.25">
      <c r="C726" s="3"/>
      <c r="D726" s="3"/>
      <c r="E726" s="3"/>
      <c r="F726" s="3"/>
    </row>
    <row r="727" spans="3:6" ht="13.2" x14ac:dyDescent="0.25">
      <c r="C727" s="3"/>
      <c r="D727" s="3"/>
      <c r="E727" s="3"/>
      <c r="F727" s="3"/>
    </row>
    <row r="728" spans="3:6" ht="13.2" x14ac:dyDescent="0.25">
      <c r="C728" s="3"/>
      <c r="D728" s="3"/>
      <c r="E728" s="3"/>
      <c r="F728" s="3"/>
    </row>
    <row r="729" spans="3:6" ht="13.2" x14ac:dyDescent="0.25">
      <c r="C729" s="3"/>
      <c r="D729" s="3"/>
      <c r="E729" s="3"/>
      <c r="F729" s="3"/>
    </row>
    <row r="730" spans="3:6" ht="13.2" x14ac:dyDescent="0.25">
      <c r="C730" s="3"/>
      <c r="D730" s="3"/>
      <c r="E730" s="3"/>
      <c r="F730" s="3"/>
    </row>
    <row r="731" spans="3:6" ht="13.2" x14ac:dyDescent="0.25">
      <c r="C731" s="3"/>
      <c r="D731" s="3"/>
      <c r="E731" s="3"/>
      <c r="F731" s="3"/>
    </row>
    <row r="732" spans="3:6" ht="13.2" x14ac:dyDescent="0.25">
      <c r="C732" s="3"/>
      <c r="D732" s="3"/>
      <c r="E732" s="3"/>
      <c r="F732" s="3"/>
    </row>
    <row r="733" spans="3:6" ht="13.2" x14ac:dyDescent="0.25">
      <c r="C733" s="3"/>
      <c r="D733" s="3"/>
      <c r="E733" s="3"/>
      <c r="F733" s="3"/>
    </row>
    <row r="734" spans="3:6" ht="13.2" x14ac:dyDescent="0.25">
      <c r="C734" s="3"/>
      <c r="D734" s="3"/>
      <c r="E734" s="3"/>
      <c r="F734" s="3"/>
    </row>
    <row r="735" spans="3:6" ht="13.2" x14ac:dyDescent="0.25">
      <c r="C735" s="3"/>
      <c r="D735" s="3"/>
      <c r="E735" s="3"/>
      <c r="F735" s="3"/>
    </row>
    <row r="736" spans="3:6" ht="13.2" x14ac:dyDescent="0.25">
      <c r="C736" s="3"/>
      <c r="D736" s="3"/>
      <c r="E736" s="3"/>
      <c r="F736" s="3"/>
    </row>
    <row r="737" spans="3:6" ht="13.2" x14ac:dyDescent="0.25">
      <c r="C737" s="3"/>
      <c r="D737" s="3"/>
      <c r="E737" s="3"/>
      <c r="F737" s="3"/>
    </row>
    <row r="738" spans="3:6" ht="13.2" x14ac:dyDescent="0.25">
      <c r="C738" s="3"/>
      <c r="D738" s="3"/>
      <c r="E738" s="3"/>
      <c r="F738" s="3"/>
    </row>
    <row r="739" spans="3:6" ht="13.2" x14ac:dyDescent="0.25">
      <c r="C739" s="3"/>
      <c r="D739" s="3"/>
      <c r="E739" s="3"/>
      <c r="F739" s="3"/>
    </row>
    <row r="740" spans="3:6" ht="13.2" x14ac:dyDescent="0.25">
      <c r="C740" s="3"/>
      <c r="D740" s="3"/>
      <c r="E740" s="3"/>
      <c r="F740" s="3"/>
    </row>
    <row r="741" spans="3:6" ht="13.2" x14ac:dyDescent="0.25">
      <c r="C741" s="3"/>
      <c r="D741" s="3"/>
      <c r="E741" s="3"/>
      <c r="F741" s="3"/>
    </row>
    <row r="742" spans="3:6" ht="13.2" x14ac:dyDescent="0.25">
      <c r="C742" s="3"/>
      <c r="D742" s="3"/>
      <c r="E742" s="3"/>
      <c r="F742" s="3"/>
    </row>
    <row r="743" spans="3:6" ht="13.2" x14ac:dyDescent="0.25">
      <c r="C743" s="3"/>
      <c r="D743" s="3"/>
      <c r="E743" s="3"/>
      <c r="F743" s="3"/>
    </row>
    <row r="744" spans="3:6" ht="13.2" x14ac:dyDescent="0.25">
      <c r="C744" s="3"/>
      <c r="D744" s="3"/>
      <c r="E744" s="3"/>
      <c r="F744" s="3"/>
    </row>
    <row r="745" spans="3:6" ht="13.2" x14ac:dyDescent="0.25">
      <c r="C745" s="3"/>
      <c r="D745" s="3"/>
      <c r="E745" s="3"/>
      <c r="F745" s="3"/>
    </row>
    <row r="746" spans="3:6" ht="13.2" x14ac:dyDescent="0.25">
      <c r="C746" s="3"/>
      <c r="D746" s="3"/>
      <c r="E746" s="3"/>
      <c r="F746" s="3"/>
    </row>
    <row r="747" spans="3:6" ht="13.2" x14ac:dyDescent="0.25">
      <c r="C747" s="3"/>
      <c r="D747" s="3"/>
      <c r="E747" s="3"/>
      <c r="F747" s="3"/>
    </row>
    <row r="748" spans="3:6" ht="13.2" x14ac:dyDescent="0.25">
      <c r="C748" s="3"/>
      <c r="D748" s="3"/>
      <c r="E748" s="3"/>
      <c r="F748" s="3"/>
    </row>
    <row r="749" spans="3:6" ht="13.2" x14ac:dyDescent="0.25">
      <c r="C749" s="3"/>
      <c r="D749" s="3"/>
      <c r="E749" s="3"/>
      <c r="F749" s="3"/>
    </row>
    <row r="750" spans="3:6" ht="13.2" x14ac:dyDescent="0.25">
      <c r="C750" s="3"/>
      <c r="D750" s="3"/>
      <c r="E750" s="3"/>
      <c r="F750" s="3"/>
    </row>
    <row r="751" spans="3:6" ht="13.2" x14ac:dyDescent="0.25">
      <c r="C751" s="3"/>
      <c r="D751" s="3"/>
      <c r="E751" s="3"/>
      <c r="F751" s="3"/>
    </row>
    <row r="752" spans="3:6" ht="13.2" x14ac:dyDescent="0.25">
      <c r="C752" s="3"/>
      <c r="D752" s="3"/>
      <c r="E752" s="3"/>
      <c r="F752" s="3"/>
    </row>
    <row r="753" spans="3:6" ht="13.2" x14ac:dyDescent="0.25">
      <c r="C753" s="3"/>
      <c r="D753" s="3"/>
      <c r="E753" s="3"/>
      <c r="F753" s="3"/>
    </row>
    <row r="754" spans="3:6" ht="13.2" x14ac:dyDescent="0.25">
      <c r="C754" s="3"/>
      <c r="D754" s="3"/>
      <c r="E754" s="3"/>
      <c r="F754" s="3"/>
    </row>
    <row r="755" spans="3:6" ht="13.2" x14ac:dyDescent="0.25">
      <c r="C755" s="3"/>
      <c r="D755" s="3"/>
      <c r="E755" s="3"/>
      <c r="F755" s="3"/>
    </row>
    <row r="756" spans="3:6" ht="13.2" x14ac:dyDescent="0.25">
      <c r="C756" s="3"/>
      <c r="D756" s="3"/>
      <c r="E756" s="3"/>
      <c r="F756" s="3"/>
    </row>
    <row r="757" spans="3:6" ht="13.2" x14ac:dyDescent="0.25">
      <c r="C757" s="3"/>
      <c r="D757" s="3"/>
      <c r="E757" s="3"/>
      <c r="F757" s="3"/>
    </row>
    <row r="758" spans="3:6" ht="13.2" x14ac:dyDescent="0.25">
      <c r="C758" s="3"/>
      <c r="D758" s="3"/>
      <c r="E758" s="3"/>
      <c r="F758" s="3"/>
    </row>
    <row r="759" spans="3:6" ht="13.2" x14ac:dyDescent="0.25">
      <c r="C759" s="3"/>
      <c r="D759" s="3"/>
      <c r="E759" s="3"/>
      <c r="F759" s="3"/>
    </row>
    <row r="760" spans="3:6" ht="13.2" x14ac:dyDescent="0.25">
      <c r="C760" s="3"/>
      <c r="D760" s="3"/>
      <c r="E760" s="3"/>
      <c r="F760" s="3"/>
    </row>
    <row r="761" spans="3:6" ht="13.2" x14ac:dyDescent="0.25">
      <c r="C761" s="3"/>
      <c r="D761" s="3"/>
      <c r="E761" s="3"/>
      <c r="F761" s="3"/>
    </row>
    <row r="762" spans="3:6" ht="13.2" x14ac:dyDescent="0.25">
      <c r="C762" s="3"/>
      <c r="D762" s="3"/>
      <c r="E762" s="3"/>
      <c r="F762" s="3"/>
    </row>
    <row r="763" spans="3:6" ht="13.2" x14ac:dyDescent="0.25">
      <c r="C763" s="3"/>
      <c r="D763" s="3"/>
      <c r="E763" s="3"/>
      <c r="F763" s="3"/>
    </row>
    <row r="764" spans="3:6" ht="13.2" x14ac:dyDescent="0.25">
      <c r="C764" s="3"/>
      <c r="D764" s="3"/>
      <c r="E764" s="3"/>
      <c r="F764" s="3"/>
    </row>
    <row r="765" spans="3:6" ht="13.2" x14ac:dyDescent="0.25">
      <c r="C765" s="3"/>
      <c r="D765" s="3"/>
      <c r="E765" s="3"/>
      <c r="F765" s="3"/>
    </row>
    <row r="766" spans="3:6" ht="13.2" x14ac:dyDescent="0.25">
      <c r="C766" s="3"/>
      <c r="D766" s="3"/>
      <c r="E766" s="3"/>
      <c r="F766" s="3"/>
    </row>
    <row r="767" spans="3:6" ht="13.2" x14ac:dyDescent="0.25">
      <c r="C767" s="3"/>
      <c r="D767" s="3"/>
      <c r="E767" s="3"/>
      <c r="F767" s="3"/>
    </row>
    <row r="768" spans="3:6" ht="13.2" x14ac:dyDescent="0.25">
      <c r="C768" s="3"/>
      <c r="D768" s="3"/>
      <c r="E768" s="3"/>
      <c r="F768" s="3"/>
    </row>
    <row r="769" spans="3:6" ht="13.2" x14ac:dyDescent="0.25">
      <c r="C769" s="3"/>
      <c r="D769" s="3"/>
      <c r="E769" s="3"/>
      <c r="F769" s="3"/>
    </row>
    <row r="770" spans="3:6" ht="13.2" x14ac:dyDescent="0.25">
      <c r="C770" s="3"/>
      <c r="D770" s="3"/>
      <c r="E770" s="3"/>
      <c r="F770" s="3"/>
    </row>
    <row r="771" spans="3:6" ht="13.2" x14ac:dyDescent="0.25">
      <c r="C771" s="3"/>
      <c r="D771" s="3"/>
      <c r="E771" s="3"/>
      <c r="F771" s="3"/>
    </row>
    <row r="772" spans="3:6" ht="13.2" x14ac:dyDescent="0.25">
      <c r="C772" s="3"/>
      <c r="D772" s="3"/>
      <c r="E772" s="3"/>
      <c r="F772" s="3"/>
    </row>
    <row r="773" spans="3:6" ht="13.2" x14ac:dyDescent="0.25">
      <c r="C773" s="3"/>
      <c r="D773" s="3"/>
      <c r="E773" s="3"/>
      <c r="F773" s="3"/>
    </row>
    <row r="774" spans="3:6" ht="13.2" x14ac:dyDescent="0.25">
      <c r="C774" s="3"/>
      <c r="D774" s="3"/>
      <c r="E774" s="3"/>
      <c r="F774" s="3"/>
    </row>
    <row r="775" spans="3:6" ht="13.2" x14ac:dyDescent="0.25">
      <c r="C775" s="3"/>
      <c r="D775" s="3"/>
      <c r="E775" s="3"/>
      <c r="F775" s="3"/>
    </row>
    <row r="776" spans="3:6" ht="13.2" x14ac:dyDescent="0.25">
      <c r="C776" s="3"/>
      <c r="D776" s="3"/>
      <c r="E776" s="3"/>
      <c r="F776" s="3"/>
    </row>
    <row r="777" spans="3:6" ht="13.2" x14ac:dyDescent="0.25">
      <c r="C777" s="3"/>
      <c r="D777" s="3"/>
      <c r="E777" s="3"/>
      <c r="F777" s="3"/>
    </row>
    <row r="778" spans="3:6" ht="13.2" x14ac:dyDescent="0.25">
      <c r="C778" s="3"/>
      <c r="D778" s="3"/>
      <c r="E778" s="3"/>
      <c r="F778" s="3"/>
    </row>
    <row r="779" spans="3:6" ht="13.2" x14ac:dyDescent="0.25">
      <c r="C779" s="3"/>
      <c r="D779" s="3"/>
      <c r="E779" s="3"/>
      <c r="F779" s="3"/>
    </row>
    <row r="780" spans="3:6" ht="13.2" x14ac:dyDescent="0.25">
      <c r="C780" s="3"/>
      <c r="D780" s="3"/>
      <c r="E780" s="3"/>
      <c r="F780" s="3"/>
    </row>
    <row r="781" spans="3:6" ht="13.2" x14ac:dyDescent="0.25">
      <c r="C781" s="3"/>
      <c r="D781" s="3"/>
      <c r="E781" s="3"/>
      <c r="F781" s="3"/>
    </row>
    <row r="782" spans="3:6" ht="13.2" x14ac:dyDescent="0.25">
      <c r="C782" s="3"/>
      <c r="D782" s="3"/>
      <c r="E782" s="3"/>
      <c r="F782" s="3"/>
    </row>
    <row r="783" spans="3:6" ht="13.2" x14ac:dyDescent="0.25">
      <c r="C783" s="3"/>
      <c r="D783" s="3"/>
      <c r="E783" s="3"/>
      <c r="F783" s="3"/>
    </row>
    <row r="784" spans="3:6" ht="13.2" x14ac:dyDescent="0.25">
      <c r="C784" s="3"/>
      <c r="D784" s="3"/>
      <c r="E784" s="3"/>
      <c r="F784" s="3"/>
    </row>
    <row r="785" spans="3:6" ht="13.2" x14ac:dyDescent="0.25">
      <c r="C785" s="3"/>
      <c r="D785" s="3"/>
      <c r="E785" s="3"/>
      <c r="F785" s="3"/>
    </row>
    <row r="786" spans="3:6" ht="13.2" x14ac:dyDescent="0.25">
      <c r="C786" s="3"/>
      <c r="D786" s="3"/>
      <c r="E786" s="3"/>
      <c r="F786" s="3"/>
    </row>
    <row r="787" spans="3:6" ht="13.2" x14ac:dyDescent="0.25">
      <c r="C787" s="3"/>
      <c r="D787" s="3"/>
      <c r="E787" s="3"/>
      <c r="F787" s="3"/>
    </row>
    <row r="788" spans="3:6" ht="13.2" x14ac:dyDescent="0.25">
      <c r="C788" s="3"/>
      <c r="D788" s="3"/>
      <c r="E788" s="3"/>
      <c r="F788" s="3"/>
    </row>
    <row r="789" spans="3:6" ht="13.2" x14ac:dyDescent="0.25">
      <c r="C789" s="3"/>
      <c r="D789" s="3"/>
      <c r="E789" s="3"/>
      <c r="F789" s="3"/>
    </row>
    <row r="790" spans="3:6" ht="13.2" x14ac:dyDescent="0.25">
      <c r="C790" s="3"/>
      <c r="D790" s="3"/>
      <c r="E790" s="3"/>
      <c r="F790" s="3"/>
    </row>
    <row r="791" spans="3:6" ht="13.2" x14ac:dyDescent="0.25">
      <c r="C791" s="3"/>
      <c r="D791" s="3"/>
      <c r="E791" s="3"/>
      <c r="F791" s="3"/>
    </row>
    <row r="792" spans="3:6" ht="13.2" x14ac:dyDescent="0.25">
      <c r="C792" s="3"/>
      <c r="D792" s="3"/>
      <c r="E792" s="3"/>
      <c r="F792" s="3"/>
    </row>
    <row r="793" spans="3:6" ht="13.2" x14ac:dyDescent="0.25">
      <c r="C793" s="3"/>
      <c r="D793" s="3"/>
      <c r="E793" s="3"/>
      <c r="F793" s="3"/>
    </row>
    <row r="794" spans="3:6" ht="13.2" x14ac:dyDescent="0.25">
      <c r="C794" s="3"/>
      <c r="D794" s="3"/>
      <c r="E794" s="3"/>
      <c r="F794" s="3"/>
    </row>
    <row r="795" spans="3:6" ht="13.2" x14ac:dyDescent="0.25">
      <c r="C795" s="3"/>
      <c r="D795" s="3"/>
      <c r="E795" s="3"/>
      <c r="F795" s="3"/>
    </row>
    <row r="796" spans="3:6" ht="13.2" x14ac:dyDescent="0.25">
      <c r="C796" s="3"/>
      <c r="D796" s="3"/>
      <c r="E796" s="3"/>
      <c r="F796" s="3"/>
    </row>
    <row r="797" spans="3:6" ht="13.2" x14ac:dyDescent="0.25">
      <c r="C797" s="3"/>
      <c r="D797" s="3"/>
      <c r="E797" s="3"/>
      <c r="F797" s="3"/>
    </row>
    <row r="798" spans="3:6" ht="13.2" x14ac:dyDescent="0.25">
      <c r="C798" s="3"/>
      <c r="D798" s="3"/>
      <c r="E798" s="3"/>
      <c r="F798" s="3"/>
    </row>
    <row r="799" spans="3:6" ht="13.2" x14ac:dyDescent="0.25">
      <c r="C799" s="3"/>
      <c r="D799" s="3"/>
      <c r="E799" s="3"/>
      <c r="F799" s="3"/>
    </row>
    <row r="800" spans="3:6" ht="13.2" x14ac:dyDescent="0.25">
      <c r="C800" s="3"/>
      <c r="D800" s="3"/>
      <c r="E800" s="3"/>
      <c r="F800" s="3"/>
    </row>
    <row r="801" spans="3:6" ht="13.2" x14ac:dyDescent="0.25">
      <c r="C801" s="3"/>
      <c r="D801" s="3"/>
      <c r="E801" s="3"/>
      <c r="F801" s="3"/>
    </row>
    <row r="802" spans="3:6" ht="13.2" x14ac:dyDescent="0.25">
      <c r="C802" s="3"/>
      <c r="D802" s="3"/>
      <c r="E802" s="3"/>
      <c r="F802" s="3"/>
    </row>
    <row r="803" spans="3:6" ht="13.2" x14ac:dyDescent="0.25">
      <c r="C803" s="3"/>
      <c r="D803" s="3"/>
      <c r="E803" s="3"/>
      <c r="F803" s="3"/>
    </row>
    <row r="804" spans="3:6" ht="13.2" x14ac:dyDescent="0.25">
      <c r="C804" s="3"/>
      <c r="D804" s="3"/>
      <c r="E804" s="3"/>
      <c r="F804" s="3"/>
    </row>
    <row r="805" spans="3:6" ht="13.2" x14ac:dyDescent="0.25">
      <c r="C805" s="3"/>
      <c r="D805" s="3"/>
      <c r="E805" s="3"/>
      <c r="F805" s="3"/>
    </row>
    <row r="806" spans="3:6" ht="13.2" x14ac:dyDescent="0.25">
      <c r="C806" s="3"/>
      <c r="D806" s="3"/>
      <c r="E806" s="3"/>
      <c r="F806" s="3"/>
    </row>
    <row r="807" spans="3:6" ht="13.2" x14ac:dyDescent="0.25">
      <c r="C807" s="3"/>
      <c r="D807" s="3"/>
      <c r="E807" s="3"/>
      <c r="F807" s="3"/>
    </row>
    <row r="808" spans="3:6" ht="13.2" x14ac:dyDescent="0.25">
      <c r="C808" s="3"/>
      <c r="D808" s="3"/>
      <c r="E808" s="3"/>
      <c r="F808" s="3"/>
    </row>
    <row r="809" spans="3:6" ht="13.2" x14ac:dyDescent="0.25">
      <c r="C809" s="3"/>
      <c r="D809" s="3"/>
      <c r="E809" s="3"/>
      <c r="F809" s="3"/>
    </row>
    <row r="810" spans="3:6" ht="13.2" x14ac:dyDescent="0.25">
      <c r="C810" s="3"/>
      <c r="D810" s="3"/>
      <c r="E810" s="3"/>
      <c r="F810" s="3"/>
    </row>
    <row r="811" spans="3:6" ht="13.2" x14ac:dyDescent="0.25">
      <c r="C811" s="3"/>
      <c r="D811" s="3"/>
      <c r="E811" s="3"/>
      <c r="F811" s="3"/>
    </row>
    <row r="812" spans="3:6" ht="13.2" x14ac:dyDescent="0.25">
      <c r="C812" s="3"/>
      <c r="D812" s="3"/>
      <c r="E812" s="3"/>
      <c r="F812" s="3"/>
    </row>
    <row r="813" spans="3:6" ht="13.2" x14ac:dyDescent="0.25">
      <c r="C813" s="3"/>
      <c r="D813" s="3"/>
      <c r="E813" s="3"/>
      <c r="F813" s="3"/>
    </row>
    <row r="814" spans="3:6" ht="13.2" x14ac:dyDescent="0.25">
      <c r="C814" s="3"/>
      <c r="D814" s="3"/>
      <c r="E814" s="3"/>
      <c r="F814" s="3"/>
    </row>
    <row r="815" spans="3:6" ht="13.2" x14ac:dyDescent="0.25">
      <c r="C815" s="3"/>
      <c r="D815" s="3"/>
      <c r="E815" s="3"/>
      <c r="F815" s="3"/>
    </row>
    <row r="816" spans="3:6" ht="13.2" x14ac:dyDescent="0.25">
      <c r="C816" s="3"/>
      <c r="D816" s="3"/>
      <c r="E816" s="3"/>
      <c r="F816" s="3"/>
    </row>
    <row r="817" spans="3:6" ht="13.2" x14ac:dyDescent="0.25">
      <c r="C817" s="3"/>
      <c r="D817" s="3"/>
      <c r="E817" s="3"/>
      <c r="F817" s="3"/>
    </row>
    <row r="818" spans="3:6" ht="13.2" x14ac:dyDescent="0.25">
      <c r="C818" s="3"/>
      <c r="D818" s="3"/>
      <c r="E818" s="3"/>
      <c r="F818" s="3"/>
    </row>
    <row r="819" spans="3:6" ht="13.2" x14ac:dyDescent="0.25">
      <c r="C819" s="3"/>
      <c r="D819" s="3"/>
      <c r="E819" s="3"/>
      <c r="F819" s="3"/>
    </row>
    <row r="820" spans="3:6" ht="13.2" x14ac:dyDescent="0.25">
      <c r="C820" s="3"/>
      <c r="D820" s="3"/>
      <c r="E820" s="3"/>
      <c r="F820" s="3"/>
    </row>
    <row r="821" spans="3:6" ht="13.2" x14ac:dyDescent="0.25">
      <c r="C821" s="3"/>
      <c r="D821" s="3"/>
      <c r="E821" s="3"/>
      <c r="F821" s="3"/>
    </row>
    <row r="822" spans="3:6" ht="13.2" x14ac:dyDescent="0.25">
      <c r="C822" s="3"/>
      <c r="D822" s="3"/>
      <c r="E822" s="3"/>
      <c r="F822" s="3"/>
    </row>
    <row r="823" spans="3:6" ht="13.2" x14ac:dyDescent="0.25">
      <c r="C823" s="3"/>
      <c r="D823" s="3"/>
      <c r="E823" s="3"/>
      <c r="F823" s="3"/>
    </row>
    <row r="824" spans="3:6" ht="13.2" x14ac:dyDescent="0.25">
      <c r="C824" s="3"/>
      <c r="D824" s="3"/>
      <c r="E824" s="3"/>
      <c r="F824" s="3"/>
    </row>
    <row r="825" spans="3:6" ht="13.2" x14ac:dyDescent="0.25">
      <c r="C825" s="3"/>
      <c r="D825" s="3"/>
      <c r="E825" s="3"/>
      <c r="F825" s="3"/>
    </row>
    <row r="826" spans="3:6" ht="13.2" x14ac:dyDescent="0.25">
      <c r="C826" s="3"/>
      <c r="D826" s="3"/>
      <c r="E826" s="3"/>
      <c r="F826" s="3"/>
    </row>
    <row r="827" spans="3:6" ht="13.2" x14ac:dyDescent="0.25">
      <c r="C827" s="3"/>
      <c r="D827" s="3"/>
      <c r="E827" s="3"/>
      <c r="F827" s="3"/>
    </row>
    <row r="828" spans="3:6" ht="13.2" x14ac:dyDescent="0.25">
      <c r="C828" s="3"/>
      <c r="D828" s="3"/>
      <c r="E828" s="3"/>
      <c r="F828" s="3"/>
    </row>
    <row r="829" spans="3:6" ht="13.2" x14ac:dyDescent="0.25">
      <c r="C829" s="3"/>
      <c r="D829" s="3"/>
      <c r="E829" s="3"/>
      <c r="F829" s="3"/>
    </row>
    <row r="830" spans="3:6" ht="13.2" x14ac:dyDescent="0.25">
      <c r="C830" s="3"/>
      <c r="D830" s="3"/>
      <c r="E830" s="3"/>
      <c r="F830" s="3"/>
    </row>
    <row r="831" spans="3:6" ht="13.2" x14ac:dyDescent="0.25">
      <c r="C831" s="3"/>
      <c r="D831" s="3"/>
      <c r="E831" s="3"/>
      <c r="F831" s="3"/>
    </row>
    <row r="832" spans="3:6" ht="13.2" x14ac:dyDescent="0.25">
      <c r="C832" s="3"/>
      <c r="D832" s="3"/>
      <c r="E832" s="3"/>
      <c r="F832" s="3"/>
    </row>
    <row r="833" spans="3:6" ht="13.2" x14ac:dyDescent="0.25">
      <c r="C833" s="3"/>
      <c r="D833" s="3"/>
      <c r="E833" s="3"/>
      <c r="F833" s="3"/>
    </row>
    <row r="834" spans="3:6" ht="13.2" x14ac:dyDescent="0.25">
      <c r="C834" s="3"/>
      <c r="D834" s="3"/>
      <c r="E834" s="3"/>
      <c r="F834" s="3"/>
    </row>
    <row r="835" spans="3:6" ht="13.2" x14ac:dyDescent="0.25">
      <c r="C835" s="3"/>
      <c r="D835" s="3"/>
      <c r="E835" s="3"/>
      <c r="F835" s="3"/>
    </row>
    <row r="836" spans="3:6" ht="13.2" x14ac:dyDescent="0.25">
      <c r="C836" s="3"/>
      <c r="D836" s="3"/>
      <c r="E836" s="3"/>
      <c r="F836" s="3"/>
    </row>
    <row r="837" spans="3:6" ht="13.2" x14ac:dyDescent="0.25">
      <c r="C837" s="3"/>
      <c r="D837" s="3"/>
      <c r="E837" s="3"/>
      <c r="F837" s="3"/>
    </row>
    <row r="838" spans="3:6" ht="13.2" x14ac:dyDescent="0.25">
      <c r="C838" s="3"/>
      <c r="D838" s="3"/>
      <c r="E838" s="3"/>
      <c r="F838" s="3"/>
    </row>
    <row r="839" spans="3:6" ht="13.2" x14ac:dyDescent="0.25">
      <c r="C839" s="3"/>
      <c r="D839" s="3"/>
      <c r="E839" s="3"/>
      <c r="F839" s="3"/>
    </row>
    <row r="840" spans="3:6" ht="13.2" x14ac:dyDescent="0.25">
      <c r="C840" s="3"/>
      <c r="D840" s="3"/>
      <c r="E840" s="3"/>
      <c r="F840" s="3"/>
    </row>
    <row r="841" spans="3:6" ht="13.2" x14ac:dyDescent="0.25">
      <c r="C841" s="3"/>
      <c r="D841" s="3"/>
      <c r="E841" s="3"/>
      <c r="F841" s="3"/>
    </row>
    <row r="842" spans="3:6" ht="13.2" x14ac:dyDescent="0.25">
      <c r="C842" s="3"/>
      <c r="D842" s="3"/>
      <c r="E842" s="3"/>
      <c r="F842" s="3"/>
    </row>
    <row r="843" spans="3:6" ht="13.2" x14ac:dyDescent="0.25">
      <c r="C843" s="3"/>
      <c r="D843" s="3"/>
      <c r="E843" s="3"/>
      <c r="F843" s="3"/>
    </row>
    <row r="844" spans="3:6" ht="13.2" x14ac:dyDescent="0.25">
      <c r="C844" s="3"/>
      <c r="D844" s="3"/>
      <c r="E844" s="3"/>
      <c r="F844" s="3"/>
    </row>
    <row r="845" spans="3:6" ht="13.2" x14ac:dyDescent="0.25">
      <c r="C845" s="3"/>
      <c r="D845" s="3"/>
      <c r="E845" s="3"/>
      <c r="F845" s="3"/>
    </row>
    <row r="846" spans="3:6" ht="13.2" x14ac:dyDescent="0.25">
      <c r="C846" s="3"/>
      <c r="D846" s="3"/>
      <c r="E846" s="3"/>
      <c r="F846" s="3"/>
    </row>
    <row r="847" spans="3:6" ht="13.2" x14ac:dyDescent="0.25">
      <c r="C847" s="3"/>
      <c r="D847" s="3"/>
      <c r="E847" s="3"/>
      <c r="F847" s="3"/>
    </row>
    <row r="848" spans="3:6" ht="13.2" x14ac:dyDescent="0.25">
      <c r="C848" s="3"/>
      <c r="D848" s="3"/>
      <c r="E848" s="3"/>
      <c r="F848" s="3"/>
    </row>
    <row r="849" spans="3:6" ht="13.2" x14ac:dyDescent="0.25">
      <c r="C849" s="3"/>
      <c r="D849" s="3"/>
      <c r="E849" s="3"/>
      <c r="F849" s="3"/>
    </row>
    <row r="850" spans="3:6" ht="13.2" x14ac:dyDescent="0.25">
      <c r="C850" s="3"/>
      <c r="D850" s="3"/>
      <c r="E850" s="3"/>
      <c r="F850" s="3"/>
    </row>
    <row r="851" spans="3:6" ht="13.2" x14ac:dyDescent="0.25">
      <c r="C851" s="3"/>
      <c r="D851" s="3"/>
      <c r="E851" s="3"/>
      <c r="F851" s="3"/>
    </row>
    <row r="852" spans="3:6" ht="13.2" x14ac:dyDescent="0.25">
      <c r="C852" s="3"/>
      <c r="D852" s="3"/>
      <c r="E852" s="3"/>
      <c r="F852" s="3"/>
    </row>
    <row r="853" spans="3:6" ht="13.2" x14ac:dyDescent="0.25">
      <c r="C853" s="3"/>
      <c r="D853" s="3"/>
      <c r="E853" s="3"/>
      <c r="F853" s="3"/>
    </row>
    <row r="854" spans="3:6" ht="13.2" x14ac:dyDescent="0.25">
      <c r="C854" s="3"/>
      <c r="D854" s="3"/>
      <c r="E854" s="3"/>
      <c r="F854" s="3"/>
    </row>
    <row r="855" spans="3:6" ht="13.2" x14ac:dyDescent="0.25">
      <c r="C855" s="3"/>
      <c r="D855" s="3"/>
      <c r="E855" s="3"/>
      <c r="F855" s="3"/>
    </row>
    <row r="856" spans="3:6" ht="13.2" x14ac:dyDescent="0.25">
      <c r="C856" s="3"/>
      <c r="D856" s="3"/>
      <c r="E856" s="3"/>
      <c r="F856" s="3"/>
    </row>
    <row r="857" spans="3:6" ht="13.2" x14ac:dyDescent="0.25">
      <c r="C857" s="3"/>
      <c r="D857" s="3"/>
      <c r="E857" s="3"/>
      <c r="F857" s="3"/>
    </row>
    <row r="858" spans="3:6" ht="13.2" x14ac:dyDescent="0.25">
      <c r="C858" s="3"/>
      <c r="D858" s="3"/>
      <c r="E858" s="3"/>
      <c r="F858" s="3"/>
    </row>
    <row r="859" spans="3:6" ht="13.2" x14ac:dyDescent="0.25">
      <c r="C859" s="3"/>
      <c r="D859" s="3"/>
      <c r="E859" s="3"/>
      <c r="F859" s="3"/>
    </row>
    <row r="860" spans="3:6" ht="13.2" x14ac:dyDescent="0.25">
      <c r="C860" s="3"/>
      <c r="D860" s="3"/>
      <c r="E860" s="3"/>
      <c r="F860" s="3"/>
    </row>
    <row r="861" spans="3:6" ht="13.2" x14ac:dyDescent="0.25">
      <c r="C861" s="3"/>
      <c r="D861" s="3"/>
      <c r="E861" s="3"/>
      <c r="F861" s="3"/>
    </row>
    <row r="862" spans="3:6" ht="13.2" x14ac:dyDescent="0.25">
      <c r="C862" s="3"/>
      <c r="D862" s="3"/>
      <c r="E862" s="3"/>
      <c r="F862" s="3"/>
    </row>
    <row r="863" spans="3:6" ht="13.2" x14ac:dyDescent="0.25">
      <c r="C863" s="3"/>
      <c r="D863" s="3"/>
      <c r="E863" s="3"/>
      <c r="F863" s="3"/>
    </row>
    <row r="864" spans="3:6" ht="13.2" x14ac:dyDescent="0.25">
      <c r="C864" s="3"/>
      <c r="D864" s="3"/>
      <c r="E864" s="3"/>
      <c r="F864" s="3"/>
    </row>
    <row r="865" spans="3:6" ht="13.2" x14ac:dyDescent="0.25">
      <c r="C865" s="3"/>
      <c r="D865" s="3"/>
      <c r="E865" s="3"/>
      <c r="F865" s="3"/>
    </row>
    <row r="866" spans="3:6" ht="13.2" x14ac:dyDescent="0.25">
      <c r="C866" s="3"/>
      <c r="D866" s="3"/>
      <c r="E866" s="3"/>
      <c r="F866" s="3"/>
    </row>
    <row r="867" spans="3:6" ht="13.2" x14ac:dyDescent="0.25">
      <c r="C867" s="3"/>
      <c r="D867" s="3"/>
      <c r="E867" s="3"/>
      <c r="F867" s="3"/>
    </row>
    <row r="868" spans="3:6" ht="13.2" x14ac:dyDescent="0.25">
      <c r="C868" s="3"/>
      <c r="D868" s="3"/>
      <c r="E868" s="3"/>
      <c r="F868" s="3"/>
    </row>
    <row r="869" spans="3:6" ht="13.2" x14ac:dyDescent="0.25">
      <c r="C869" s="3"/>
      <c r="D869" s="3"/>
      <c r="E869" s="3"/>
      <c r="F869" s="3"/>
    </row>
    <row r="870" spans="3:6" ht="13.2" x14ac:dyDescent="0.25">
      <c r="C870" s="3"/>
      <c r="D870" s="3"/>
      <c r="E870" s="3"/>
      <c r="F870" s="3"/>
    </row>
    <row r="871" spans="3:6" ht="13.2" x14ac:dyDescent="0.25">
      <c r="C871" s="3"/>
      <c r="D871" s="3"/>
      <c r="E871" s="3"/>
      <c r="F871" s="3"/>
    </row>
    <row r="872" spans="3:6" ht="13.2" x14ac:dyDescent="0.25">
      <c r="C872" s="3"/>
      <c r="D872" s="3"/>
      <c r="E872" s="3"/>
      <c r="F872" s="3"/>
    </row>
    <row r="873" spans="3:6" ht="13.2" x14ac:dyDescent="0.25">
      <c r="C873" s="3"/>
      <c r="D873" s="3"/>
      <c r="E873" s="3"/>
      <c r="F873" s="3"/>
    </row>
    <row r="874" spans="3:6" ht="13.2" x14ac:dyDescent="0.25">
      <c r="C874" s="3"/>
      <c r="D874" s="3"/>
      <c r="E874" s="3"/>
      <c r="F874" s="3"/>
    </row>
    <row r="875" spans="3:6" ht="13.2" x14ac:dyDescent="0.25">
      <c r="C875" s="3"/>
      <c r="D875" s="3"/>
      <c r="E875" s="3"/>
      <c r="F875" s="3"/>
    </row>
    <row r="876" spans="3:6" ht="13.2" x14ac:dyDescent="0.25">
      <c r="C876" s="3"/>
      <c r="D876" s="3"/>
      <c r="E876" s="3"/>
      <c r="F876" s="3"/>
    </row>
    <row r="877" spans="3:6" ht="13.2" x14ac:dyDescent="0.25">
      <c r="C877" s="3"/>
      <c r="D877" s="3"/>
      <c r="E877" s="3"/>
      <c r="F877" s="3"/>
    </row>
    <row r="878" spans="3:6" ht="13.2" x14ac:dyDescent="0.25">
      <c r="C878" s="3"/>
      <c r="D878" s="3"/>
      <c r="E878" s="3"/>
      <c r="F878" s="3"/>
    </row>
    <row r="879" spans="3:6" ht="13.2" x14ac:dyDescent="0.25">
      <c r="C879" s="3"/>
      <c r="D879" s="3"/>
      <c r="E879" s="3"/>
      <c r="F879" s="3"/>
    </row>
    <row r="880" spans="3:6" ht="13.2" x14ac:dyDescent="0.25">
      <c r="C880" s="3"/>
      <c r="D880" s="3"/>
      <c r="E880" s="3"/>
      <c r="F880" s="3"/>
    </row>
    <row r="881" spans="3:6" ht="13.2" x14ac:dyDescent="0.25">
      <c r="C881" s="3"/>
      <c r="D881" s="3"/>
      <c r="E881" s="3"/>
      <c r="F881" s="3"/>
    </row>
    <row r="882" spans="3:6" ht="13.2" x14ac:dyDescent="0.25">
      <c r="C882" s="3"/>
      <c r="D882" s="3"/>
      <c r="E882" s="3"/>
      <c r="F882" s="3"/>
    </row>
    <row r="883" spans="3:6" ht="13.2" x14ac:dyDescent="0.25">
      <c r="C883" s="3"/>
      <c r="D883" s="3"/>
      <c r="E883" s="3"/>
      <c r="F883" s="3"/>
    </row>
    <row r="884" spans="3:6" ht="13.2" x14ac:dyDescent="0.25">
      <c r="C884" s="3"/>
      <c r="D884" s="3"/>
      <c r="E884" s="3"/>
      <c r="F884" s="3"/>
    </row>
    <row r="885" spans="3:6" ht="13.2" x14ac:dyDescent="0.25">
      <c r="C885" s="3"/>
      <c r="D885" s="3"/>
      <c r="E885" s="3"/>
      <c r="F885" s="3"/>
    </row>
    <row r="886" spans="3:6" ht="13.2" x14ac:dyDescent="0.25">
      <c r="C886" s="3"/>
      <c r="D886" s="3"/>
      <c r="E886" s="3"/>
      <c r="F886" s="3"/>
    </row>
    <row r="887" spans="3:6" ht="13.2" x14ac:dyDescent="0.25">
      <c r="C887" s="3"/>
      <c r="D887" s="3"/>
      <c r="E887" s="3"/>
      <c r="F887" s="3"/>
    </row>
    <row r="888" spans="3:6" ht="13.2" x14ac:dyDescent="0.25">
      <c r="C888" s="3"/>
      <c r="D888" s="3"/>
      <c r="E888" s="3"/>
      <c r="F888" s="3"/>
    </row>
    <row r="889" spans="3:6" ht="13.2" x14ac:dyDescent="0.25">
      <c r="C889" s="3"/>
      <c r="D889" s="3"/>
      <c r="E889" s="3"/>
      <c r="F889" s="3"/>
    </row>
    <row r="890" spans="3:6" ht="13.2" x14ac:dyDescent="0.25">
      <c r="C890" s="3"/>
      <c r="D890" s="3"/>
      <c r="E890" s="3"/>
      <c r="F890" s="3"/>
    </row>
    <row r="891" spans="3:6" ht="13.2" x14ac:dyDescent="0.25">
      <c r="C891" s="3"/>
      <c r="D891" s="3"/>
      <c r="E891" s="3"/>
      <c r="F891" s="3"/>
    </row>
    <row r="892" spans="3:6" ht="13.2" x14ac:dyDescent="0.25">
      <c r="C892" s="3"/>
      <c r="D892" s="3"/>
      <c r="E892" s="3"/>
      <c r="F892" s="3"/>
    </row>
    <row r="893" spans="3:6" ht="13.2" x14ac:dyDescent="0.25">
      <c r="C893" s="3"/>
      <c r="D893" s="3"/>
      <c r="E893" s="3"/>
      <c r="F893" s="3"/>
    </row>
    <row r="894" spans="3:6" ht="13.2" x14ac:dyDescent="0.25">
      <c r="C894" s="3"/>
      <c r="D894" s="3"/>
      <c r="E894" s="3"/>
      <c r="F894" s="3"/>
    </row>
    <row r="895" spans="3:6" ht="13.2" x14ac:dyDescent="0.25">
      <c r="C895" s="3"/>
      <c r="D895" s="3"/>
      <c r="E895" s="3"/>
      <c r="F895" s="3"/>
    </row>
    <row r="896" spans="3:6" ht="13.2" x14ac:dyDescent="0.25">
      <c r="C896" s="3"/>
      <c r="D896" s="3"/>
      <c r="E896" s="3"/>
      <c r="F896" s="3"/>
    </row>
    <row r="897" spans="3:6" ht="13.2" x14ac:dyDescent="0.25">
      <c r="C897" s="3"/>
      <c r="D897" s="3"/>
      <c r="E897" s="3"/>
      <c r="F897" s="3"/>
    </row>
    <row r="898" spans="3:6" ht="13.2" x14ac:dyDescent="0.25">
      <c r="C898" s="3"/>
      <c r="D898" s="3"/>
      <c r="E898" s="3"/>
      <c r="F898" s="3"/>
    </row>
    <row r="899" spans="3:6" ht="13.2" x14ac:dyDescent="0.25">
      <c r="C899" s="3"/>
      <c r="D899" s="3"/>
      <c r="E899" s="3"/>
      <c r="F899" s="3"/>
    </row>
    <row r="900" spans="3:6" ht="13.2" x14ac:dyDescent="0.25">
      <c r="C900" s="3"/>
      <c r="D900" s="3"/>
      <c r="E900" s="3"/>
      <c r="F900" s="3"/>
    </row>
    <row r="901" spans="3:6" ht="13.2" x14ac:dyDescent="0.25">
      <c r="C901" s="3"/>
      <c r="D901" s="3"/>
      <c r="E901" s="3"/>
      <c r="F901" s="3"/>
    </row>
    <row r="902" spans="3:6" ht="13.2" x14ac:dyDescent="0.25">
      <c r="C902" s="3"/>
      <c r="D902" s="3"/>
      <c r="E902" s="3"/>
      <c r="F902" s="3"/>
    </row>
    <row r="903" spans="3:6" ht="13.2" x14ac:dyDescent="0.25">
      <c r="C903" s="3"/>
      <c r="D903" s="3"/>
      <c r="E903" s="3"/>
      <c r="F903" s="3"/>
    </row>
    <row r="904" spans="3:6" ht="13.2" x14ac:dyDescent="0.25">
      <c r="C904" s="3"/>
      <c r="D904" s="3"/>
      <c r="E904" s="3"/>
      <c r="F904" s="3"/>
    </row>
    <row r="905" spans="3:6" ht="13.2" x14ac:dyDescent="0.25">
      <c r="C905" s="3"/>
      <c r="D905" s="3"/>
      <c r="E905" s="3"/>
      <c r="F905" s="3"/>
    </row>
    <row r="906" spans="3:6" ht="13.2" x14ac:dyDescent="0.25">
      <c r="C906" s="3"/>
      <c r="D906" s="3"/>
      <c r="E906" s="3"/>
      <c r="F906" s="3"/>
    </row>
    <row r="907" spans="3:6" ht="13.2" x14ac:dyDescent="0.25">
      <c r="C907" s="3"/>
      <c r="D907" s="3"/>
      <c r="E907" s="3"/>
      <c r="F907" s="3"/>
    </row>
    <row r="908" spans="3:6" ht="13.2" x14ac:dyDescent="0.25">
      <c r="C908" s="3"/>
      <c r="D908" s="3"/>
      <c r="E908" s="3"/>
      <c r="F908" s="3"/>
    </row>
    <row r="909" spans="3:6" ht="13.2" x14ac:dyDescent="0.25">
      <c r="C909" s="3"/>
      <c r="D909" s="3"/>
      <c r="E909" s="3"/>
      <c r="F909" s="3"/>
    </row>
    <row r="910" spans="3:6" ht="13.2" x14ac:dyDescent="0.25">
      <c r="C910" s="3"/>
      <c r="D910" s="3"/>
      <c r="E910" s="3"/>
      <c r="F910" s="3"/>
    </row>
    <row r="911" spans="3:6" ht="13.2" x14ac:dyDescent="0.25">
      <c r="C911" s="3"/>
      <c r="D911" s="3"/>
      <c r="E911" s="3"/>
      <c r="F911" s="3"/>
    </row>
    <row r="912" spans="3:6" ht="13.2" x14ac:dyDescent="0.25">
      <c r="C912" s="3"/>
      <c r="D912" s="3"/>
      <c r="E912" s="3"/>
      <c r="F912" s="3"/>
    </row>
    <row r="913" spans="3:6" ht="13.2" x14ac:dyDescent="0.25">
      <c r="C913" s="3"/>
      <c r="D913" s="3"/>
      <c r="E913" s="3"/>
      <c r="F913" s="3"/>
    </row>
    <row r="914" spans="3:6" ht="13.2" x14ac:dyDescent="0.25">
      <c r="C914" s="3"/>
      <c r="D914" s="3"/>
      <c r="E914" s="3"/>
      <c r="F914" s="3"/>
    </row>
    <row r="915" spans="3:6" ht="13.2" x14ac:dyDescent="0.25">
      <c r="C915" s="3"/>
      <c r="D915" s="3"/>
      <c r="E915" s="3"/>
      <c r="F915" s="3"/>
    </row>
    <row r="916" spans="3:6" ht="13.2" x14ac:dyDescent="0.25">
      <c r="C916" s="3"/>
      <c r="D916" s="3"/>
      <c r="E916" s="3"/>
      <c r="F916" s="3"/>
    </row>
    <row r="917" spans="3:6" ht="13.2" x14ac:dyDescent="0.25">
      <c r="C917" s="3"/>
      <c r="D917" s="3"/>
      <c r="E917" s="3"/>
      <c r="F917" s="3"/>
    </row>
    <row r="918" spans="3:6" ht="13.2" x14ac:dyDescent="0.25">
      <c r="C918" s="3"/>
      <c r="D918" s="3"/>
      <c r="E918" s="3"/>
      <c r="F918" s="3"/>
    </row>
    <row r="919" spans="3:6" ht="13.2" x14ac:dyDescent="0.25">
      <c r="C919" s="3"/>
      <c r="D919" s="3"/>
      <c r="E919" s="3"/>
      <c r="F919" s="3"/>
    </row>
    <row r="920" spans="3:6" ht="13.2" x14ac:dyDescent="0.25">
      <c r="C920" s="3"/>
      <c r="D920" s="3"/>
      <c r="E920" s="3"/>
      <c r="F920" s="3"/>
    </row>
    <row r="921" spans="3:6" ht="13.2" x14ac:dyDescent="0.25">
      <c r="C921" s="3"/>
      <c r="D921" s="3"/>
      <c r="E921" s="3"/>
      <c r="F921" s="3"/>
    </row>
    <row r="922" spans="3:6" ht="13.2" x14ac:dyDescent="0.25">
      <c r="C922" s="3"/>
      <c r="D922" s="3"/>
      <c r="E922" s="3"/>
      <c r="F922" s="3"/>
    </row>
    <row r="923" spans="3:6" ht="13.2" x14ac:dyDescent="0.25">
      <c r="C923" s="3"/>
      <c r="D923" s="3"/>
      <c r="E923" s="3"/>
      <c r="F923" s="3"/>
    </row>
    <row r="924" spans="3:6" ht="13.2" x14ac:dyDescent="0.25">
      <c r="C924" s="3"/>
      <c r="D924" s="3"/>
      <c r="E924" s="3"/>
      <c r="F924" s="3"/>
    </row>
    <row r="925" spans="3:6" ht="13.2" x14ac:dyDescent="0.25">
      <c r="C925" s="3"/>
      <c r="D925" s="3"/>
      <c r="E925" s="3"/>
      <c r="F925" s="3"/>
    </row>
    <row r="926" spans="3:6" ht="13.2" x14ac:dyDescent="0.25">
      <c r="C926" s="3"/>
      <c r="D926" s="3"/>
      <c r="E926" s="3"/>
      <c r="F926" s="3"/>
    </row>
    <row r="927" spans="3:6" ht="13.2" x14ac:dyDescent="0.25">
      <c r="C927" s="3"/>
      <c r="D927" s="3"/>
      <c r="E927" s="3"/>
      <c r="F927" s="3"/>
    </row>
    <row r="928" spans="3:6" ht="13.2" x14ac:dyDescent="0.25">
      <c r="C928" s="3"/>
      <c r="D928" s="3"/>
      <c r="E928" s="3"/>
      <c r="F928" s="3"/>
    </row>
    <row r="929" spans="3:6" ht="13.2" x14ac:dyDescent="0.25">
      <c r="C929" s="3"/>
      <c r="D929" s="3"/>
      <c r="E929" s="3"/>
      <c r="F929" s="3"/>
    </row>
    <row r="930" spans="3:6" ht="13.2" x14ac:dyDescent="0.25">
      <c r="C930" s="3"/>
      <c r="D930" s="3"/>
      <c r="E930" s="3"/>
      <c r="F930" s="3"/>
    </row>
    <row r="931" spans="3:6" ht="13.2" x14ac:dyDescent="0.25">
      <c r="C931" s="3"/>
      <c r="D931" s="3"/>
      <c r="E931" s="3"/>
      <c r="F931" s="3"/>
    </row>
    <row r="932" spans="3:6" ht="13.2" x14ac:dyDescent="0.25">
      <c r="C932" s="3"/>
      <c r="D932" s="3"/>
      <c r="E932" s="3"/>
      <c r="F932" s="3"/>
    </row>
    <row r="933" spans="3:6" ht="13.2" x14ac:dyDescent="0.25">
      <c r="C933" s="3"/>
      <c r="D933" s="3"/>
      <c r="E933" s="3"/>
      <c r="F933" s="3"/>
    </row>
    <row r="934" spans="3:6" ht="13.2" x14ac:dyDescent="0.25">
      <c r="C934" s="3"/>
      <c r="D934" s="3"/>
      <c r="E934" s="3"/>
      <c r="F934" s="3"/>
    </row>
    <row r="935" spans="3:6" ht="13.2" x14ac:dyDescent="0.25">
      <c r="C935" s="3"/>
      <c r="D935" s="3"/>
      <c r="E935" s="3"/>
      <c r="F935" s="3"/>
    </row>
    <row r="936" spans="3:6" ht="13.2" x14ac:dyDescent="0.25">
      <c r="C936" s="3"/>
      <c r="D936" s="3"/>
      <c r="E936" s="3"/>
      <c r="F936" s="3"/>
    </row>
    <row r="937" spans="3:6" ht="13.2" x14ac:dyDescent="0.25">
      <c r="C937" s="3"/>
      <c r="D937" s="3"/>
      <c r="E937" s="3"/>
      <c r="F937" s="3"/>
    </row>
    <row r="938" spans="3:6" ht="13.2" x14ac:dyDescent="0.25">
      <c r="C938" s="3"/>
      <c r="D938" s="3"/>
      <c r="E938" s="3"/>
      <c r="F938" s="3"/>
    </row>
    <row r="939" spans="3:6" ht="13.2" x14ac:dyDescent="0.25">
      <c r="C939" s="3"/>
      <c r="D939" s="3"/>
      <c r="E939" s="3"/>
      <c r="F939" s="3"/>
    </row>
    <row r="940" spans="3:6" ht="13.2" x14ac:dyDescent="0.25">
      <c r="C940" s="3"/>
      <c r="D940" s="3"/>
      <c r="E940" s="3"/>
      <c r="F940" s="3"/>
    </row>
    <row r="941" spans="3:6" ht="13.2" x14ac:dyDescent="0.25">
      <c r="C941" s="3"/>
      <c r="D941" s="3"/>
      <c r="E941" s="3"/>
      <c r="F941" s="3"/>
    </row>
    <row r="942" spans="3:6" ht="13.2" x14ac:dyDescent="0.25">
      <c r="C942" s="3"/>
      <c r="D942" s="3"/>
      <c r="E942" s="3"/>
      <c r="F942" s="3"/>
    </row>
    <row r="943" spans="3:6" ht="13.2" x14ac:dyDescent="0.25">
      <c r="C943" s="3"/>
      <c r="D943" s="3"/>
      <c r="E943" s="3"/>
      <c r="F943" s="3"/>
    </row>
    <row r="944" spans="3:6" ht="13.2" x14ac:dyDescent="0.25">
      <c r="C944" s="3"/>
      <c r="D944" s="3"/>
      <c r="E944" s="3"/>
      <c r="F944" s="3"/>
    </row>
    <row r="945" spans="3:6" ht="13.2" x14ac:dyDescent="0.25">
      <c r="C945" s="3"/>
      <c r="D945" s="3"/>
      <c r="E945" s="3"/>
      <c r="F945" s="3"/>
    </row>
    <row r="946" spans="3:6" ht="13.2" x14ac:dyDescent="0.25">
      <c r="C946" s="3"/>
      <c r="D946" s="3"/>
      <c r="E946" s="3"/>
      <c r="F946" s="3"/>
    </row>
    <row r="947" spans="3:6" ht="13.2" x14ac:dyDescent="0.25">
      <c r="C947" s="3"/>
      <c r="D947" s="3"/>
      <c r="E947" s="3"/>
      <c r="F947" s="3"/>
    </row>
    <row r="948" spans="3:6" ht="13.2" x14ac:dyDescent="0.25">
      <c r="C948" s="3"/>
      <c r="D948" s="3"/>
      <c r="E948" s="3"/>
      <c r="F948" s="3"/>
    </row>
    <row r="949" spans="3:6" ht="13.2" x14ac:dyDescent="0.25">
      <c r="C949" s="3"/>
      <c r="D949" s="3"/>
      <c r="E949" s="3"/>
      <c r="F949" s="3"/>
    </row>
    <row r="950" spans="3:6" ht="13.2" x14ac:dyDescent="0.25">
      <c r="C950" s="3"/>
      <c r="D950" s="3"/>
      <c r="E950" s="3"/>
      <c r="F950" s="3"/>
    </row>
    <row r="951" spans="3:6" ht="13.2" x14ac:dyDescent="0.25">
      <c r="C951" s="3"/>
      <c r="D951" s="3"/>
      <c r="E951" s="3"/>
      <c r="F951" s="3"/>
    </row>
    <row r="952" spans="3:6" ht="13.2" x14ac:dyDescent="0.25">
      <c r="C952" s="3"/>
      <c r="D952" s="3"/>
      <c r="E952" s="3"/>
      <c r="F952" s="3"/>
    </row>
    <row r="953" spans="3:6" ht="13.2" x14ac:dyDescent="0.25">
      <c r="C953" s="3"/>
      <c r="D953" s="3"/>
      <c r="E953" s="3"/>
      <c r="F953" s="3"/>
    </row>
    <row r="954" spans="3:6" ht="13.2" x14ac:dyDescent="0.25">
      <c r="C954" s="3"/>
      <c r="D954" s="3"/>
      <c r="E954" s="3"/>
      <c r="F954" s="3"/>
    </row>
    <row r="955" spans="3:6" ht="13.2" x14ac:dyDescent="0.25">
      <c r="C955" s="3"/>
      <c r="D955" s="3"/>
      <c r="E955" s="3"/>
      <c r="F955" s="3"/>
    </row>
    <row r="956" spans="3:6" ht="13.2" x14ac:dyDescent="0.25">
      <c r="C956" s="3"/>
      <c r="D956" s="3"/>
      <c r="E956" s="3"/>
      <c r="F956" s="3"/>
    </row>
    <row r="957" spans="3:6" ht="13.2" x14ac:dyDescent="0.25">
      <c r="C957" s="3"/>
      <c r="D957" s="3"/>
      <c r="E957" s="3"/>
      <c r="F957" s="3"/>
    </row>
    <row r="958" spans="3:6" ht="13.2" x14ac:dyDescent="0.25">
      <c r="C958" s="3"/>
      <c r="D958" s="3"/>
      <c r="E958" s="3"/>
      <c r="F958" s="3"/>
    </row>
    <row r="959" spans="3:6" ht="13.2" x14ac:dyDescent="0.25">
      <c r="C959" s="3"/>
      <c r="D959" s="3"/>
      <c r="E959" s="3"/>
      <c r="F959" s="3"/>
    </row>
    <row r="960" spans="3:6" ht="13.2" x14ac:dyDescent="0.25">
      <c r="C960" s="3"/>
      <c r="D960" s="3"/>
      <c r="E960" s="3"/>
      <c r="F960" s="3"/>
    </row>
    <row r="961" spans="3:6" ht="13.2" x14ac:dyDescent="0.25">
      <c r="C961" s="3"/>
      <c r="D961" s="3"/>
      <c r="E961" s="3"/>
      <c r="F961" s="3"/>
    </row>
    <row r="962" spans="3:6" ht="13.2" x14ac:dyDescent="0.25">
      <c r="C962" s="3"/>
      <c r="D962" s="3"/>
      <c r="E962" s="3"/>
      <c r="F962" s="3"/>
    </row>
    <row r="963" spans="3:6" ht="13.2" x14ac:dyDescent="0.25">
      <c r="C963" s="3"/>
      <c r="D963" s="3"/>
      <c r="E963" s="3"/>
      <c r="F963" s="3"/>
    </row>
    <row r="964" spans="3:6" ht="13.2" x14ac:dyDescent="0.25">
      <c r="C964" s="3"/>
      <c r="D964" s="3"/>
      <c r="E964" s="3"/>
      <c r="F964" s="3"/>
    </row>
    <row r="965" spans="3:6" ht="13.2" x14ac:dyDescent="0.25">
      <c r="C965" s="3"/>
      <c r="D965" s="3"/>
      <c r="E965" s="3"/>
      <c r="F965" s="3"/>
    </row>
    <row r="966" spans="3:6" ht="13.2" x14ac:dyDescent="0.25">
      <c r="C966" s="3"/>
      <c r="D966" s="3"/>
      <c r="E966" s="3"/>
      <c r="F966" s="3"/>
    </row>
    <row r="967" spans="3:6" ht="13.2" x14ac:dyDescent="0.25">
      <c r="C967" s="3"/>
      <c r="D967" s="3"/>
      <c r="E967" s="3"/>
      <c r="F967" s="3"/>
    </row>
    <row r="968" spans="3:6" ht="13.2" x14ac:dyDescent="0.25">
      <c r="C968" s="3"/>
      <c r="D968" s="3"/>
      <c r="E968" s="3"/>
      <c r="F968" s="3"/>
    </row>
    <row r="969" spans="3:6" ht="13.2" x14ac:dyDescent="0.25">
      <c r="C969" s="3"/>
      <c r="D969" s="3"/>
      <c r="E969" s="3"/>
      <c r="F969" s="3"/>
    </row>
    <row r="970" spans="3:6" ht="13.2" x14ac:dyDescent="0.25">
      <c r="C970" s="3"/>
      <c r="D970" s="3"/>
      <c r="E970" s="3"/>
      <c r="F970" s="3"/>
    </row>
    <row r="971" spans="3:6" ht="13.2" x14ac:dyDescent="0.25">
      <c r="C971" s="3"/>
      <c r="D971" s="3"/>
      <c r="E971" s="3"/>
      <c r="F971" s="3"/>
    </row>
    <row r="972" spans="3:6" ht="13.2" x14ac:dyDescent="0.25">
      <c r="C972" s="3"/>
      <c r="D972" s="3"/>
      <c r="E972" s="3"/>
      <c r="F972" s="3"/>
    </row>
    <row r="973" spans="3:6" ht="13.2" x14ac:dyDescent="0.25">
      <c r="C973" s="3"/>
      <c r="D973" s="3"/>
      <c r="E973" s="3"/>
      <c r="F973" s="3"/>
    </row>
    <row r="974" spans="3:6" ht="13.2" x14ac:dyDescent="0.25">
      <c r="C974" s="3"/>
      <c r="D974" s="3"/>
      <c r="E974" s="3"/>
      <c r="F974" s="3"/>
    </row>
    <row r="975" spans="3:6" ht="13.2" x14ac:dyDescent="0.25">
      <c r="C975" s="3"/>
      <c r="D975" s="3"/>
      <c r="E975" s="3"/>
      <c r="F975" s="3"/>
    </row>
    <row r="976" spans="3:6" ht="13.2" x14ac:dyDescent="0.25">
      <c r="C976" s="3"/>
      <c r="D976" s="3"/>
      <c r="E976" s="3"/>
      <c r="F976" s="3"/>
    </row>
    <row r="977" spans="3:6" ht="13.2" x14ac:dyDescent="0.25">
      <c r="C977" s="3"/>
      <c r="D977" s="3"/>
      <c r="E977" s="3"/>
      <c r="F977" s="3"/>
    </row>
    <row r="978" spans="3:6" ht="13.2" x14ac:dyDescent="0.25">
      <c r="C978" s="3"/>
      <c r="D978" s="3"/>
      <c r="E978" s="3"/>
      <c r="F978" s="3"/>
    </row>
    <row r="979" spans="3:6" ht="13.2" x14ac:dyDescent="0.25">
      <c r="C979" s="3"/>
      <c r="D979" s="3"/>
      <c r="E979" s="3"/>
      <c r="F979" s="3"/>
    </row>
    <row r="980" spans="3:6" ht="13.2" x14ac:dyDescent="0.25">
      <c r="C980" s="3"/>
      <c r="D980" s="3"/>
      <c r="E980" s="3"/>
      <c r="F980" s="3"/>
    </row>
    <row r="981" spans="3:6" ht="13.2" x14ac:dyDescent="0.25">
      <c r="C981" s="3"/>
      <c r="D981" s="3"/>
      <c r="E981" s="3"/>
      <c r="F981" s="3"/>
    </row>
    <row r="982" spans="3:6" ht="13.2" x14ac:dyDescent="0.25">
      <c r="C982" s="3"/>
      <c r="D982" s="3"/>
      <c r="E982" s="3"/>
      <c r="F982" s="3"/>
    </row>
    <row r="983" spans="3:6" ht="13.2" x14ac:dyDescent="0.25">
      <c r="C983" s="3"/>
      <c r="D983" s="3"/>
      <c r="E983" s="3"/>
      <c r="F983" s="3"/>
    </row>
    <row r="984" spans="3:6" ht="13.2" x14ac:dyDescent="0.25">
      <c r="C984" s="3"/>
      <c r="D984" s="3"/>
      <c r="E984" s="3"/>
      <c r="F984" s="3"/>
    </row>
    <row r="985" spans="3:6" ht="13.2" x14ac:dyDescent="0.25">
      <c r="C985" s="3"/>
      <c r="D985" s="3"/>
      <c r="E985" s="3"/>
      <c r="F985" s="3"/>
    </row>
    <row r="986" spans="3:6" ht="13.2" x14ac:dyDescent="0.25">
      <c r="C986" s="3"/>
      <c r="D986" s="3"/>
      <c r="E986" s="3"/>
      <c r="F986" s="3"/>
    </row>
    <row r="987" spans="3:6" ht="13.2" x14ac:dyDescent="0.25">
      <c r="C987" s="3"/>
      <c r="D987" s="3"/>
      <c r="E987" s="3"/>
      <c r="F987" s="3"/>
    </row>
    <row r="988" spans="3:6" ht="13.2" x14ac:dyDescent="0.25">
      <c r="C988" s="3"/>
      <c r="D988" s="3"/>
      <c r="E988" s="3"/>
      <c r="F988" s="3"/>
    </row>
    <row r="989" spans="3:6" ht="13.2" x14ac:dyDescent="0.25">
      <c r="C989" s="3"/>
      <c r="D989" s="3"/>
      <c r="E989" s="3"/>
      <c r="F989" s="3"/>
    </row>
    <row r="990" spans="3:6" ht="13.2" x14ac:dyDescent="0.25">
      <c r="C990" s="3"/>
      <c r="D990" s="3"/>
      <c r="E990" s="3"/>
      <c r="F990" s="3"/>
    </row>
    <row r="991" spans="3:6" ht="13.2" x14ac:dyDescent="0.25">
      <c r="C991" s="3"/>
      <c r="D991" s="3"/>
      <c r="E991" s="3"/>
      <c r="F991" s="3"/>
    </row>
    <row r="992" spans="3:6" ht="13.2" x14ac:dyDescent="0.25">
      <c r="C992" s="3"/>
      <c r="D992" s="3"/>
      <c r="E992" s="3"/>
      <c r="F992" s="3"/>
    </row>
    <row r="993" spans="3:6" ht="13.2" x14ac:dyDescent="0.25">
      <c r="C993" s="3"/>
      <c r="D993" s="3"/>
      <c r="E993" s="3"/>
      <c r="F993" s="3"/>
    </row>
    <row r="994" spans="3:6" ht="13.2" x14ac:dyDescent="0.25">
      <c r="C994" s="3"/>
      <c r="D994" s="3"/>
      <c r="E994" s="3"/>
      <c r="F994" s="3"/>
    </row>
    <row r="995" spans="3:6" ht="13.2" x14ac:dyDescent="0.25">
      <c r="C995" s="3"/>
      <c r="D995" s="3"/>
      <c r="E995" s="3"/>
      <c r="F995" s="3"/>
    </row>
    <row r="996" spans="3:6" ht="13.2" x14ac:dyDescent="0.25">
      <c r="C996" s="3"/>
      <c r="D996" s="3"/>
      <c r="E996" s="3"/>
      <c r="F996" s="3"/>
    </row>
    <row r="997" spans="3:6" ht="13.2" x14ac:dyDescent="0.25">
      <c r="C997" s="3"/>
      <c r="D997" s="3"/>
      <c r="E997" s="3"/>
      <c r="F997" s="3"/>
    </row>
    <row r="998" spans="3:6" ht="13.2" x14ac:dyDescent="0.25">
      <c r="C998" s="3"/>
      <c r="D998" s="3"/>
      <c r="E998" s="3"/>
      <c r="F998" s="3"/>
    </row>
    <row r="999" spans="3:6" ht="13.2" x14ac:dyDescent="0.25">
      <c r="C999" s="3"/>
      <c r="D999" s="3"/>
      <c r="E999" s="3"/>
      <c r="F999" s="3"/>
    </row>
    <row r="1000" spans="3:6" ht="13.2" x14ac:dyDescent="0.25">
      <c r="C1000" s="3"/>
      <c r="D1000" s="3"/>
      <c r="E1000" s="3"/>
      <c r="F1000" s="3"/>
    </row>
    <row r="1001" spans="3:6" ht="13.2" x14ac:dyDescent="0.25">
      <c r="C1001" s="3"/>
      <c r="D1001" s="3"/>
      <c r="E1001" s="3"/>
      <c r="F1001" s="3"/>
    </row>
    <row r="1002" spans="3:6" ht="13.2" x14ac:dyDescent="0.25">
      <c r="C1002" s="3"/>
      <c r="D1002" s="3"/>
      <c r="E1002" s="3"/>
      <c r="F1002" s="3"/>
    </row>
    <row r="1003" spans="3:6" ht="13.2" x14ac:dyDescent="0.25">
      <c r="C1003" s="3"/>
      <c r="D1003" s="3"/>
      <c r="E1003" s="3"/>
      <c r="F1003" s="3"/>
    </row>
    <row r="1004" spans="3:6" ht="13.2" x14ac:dyDescent="0.25">
      <c r="C1004" s="3"/>
      <c r="D1004" s="3"/>
      <c r="E1004" s="3"/>
      <c r="F1004" s="3"/>
    </row>
    <row r="1005" spans="3:6" ht="13.2" x14ac:dyDescent="0.25">
      <c r="C1005" s="3"/>
      <c r="D1005" s="3"/>
      <c r="E1005" s="3"/>
      <c r="F1005" s="3"/>
    </row>
    <row r="1006" spans="3:6" ht="13.2" x14ac:dyDescent="0.25">
      <c r="C1006" s="3"/>
      <c r="D1006" s="3"/>
      <c r="E1006" s="3"/>
      <c r="F1006" s="3"/>
    </row>
    <row r="1007" spans="3:6" ht="13.2" x14ac:dyDescent="0.25">
      <c r="C1007" s="3"/>
      <c r="D1007" s="3"/>
      <c r="E1007" s="3"/>
      <c r="F1007" s="3"/>
    </row>
    <row r="1008" spans="3:6" ht="13.2" x14ac:dyDescent="0.25">
      <c r="C1008" s="3"/>
      <c r="D1008" s="3"/>
      <c r="E1008" s="3"/>
      <c r="F1008" s="3"/>
    </row>
    <row r="1009" spans="3:6" ht="13.2" x14ac:dyDescent="0.25">
      <c r="C1009" s="3"/>
      <c r="D1009" s="3"/>
      <c r="E1009" s="3"/>
      <c r="F1009" s="3"/>
    </row>
    <row r="1010" spans="3:6" ht="13.2" x14ac:dyDescent="0.25">
      <c r="C1010" s="3"/>
      <c r="D1010" s="3"/>
      <c r="E1010" s="3"/>
      <c r="F1010" s="3"/>
    </row>
    <row r="1011" spans="3:6" ht="13.2" x14ac:dyDescent="0.25">
      <c r="C1011" s="3"/>
      <c r="D1011" s="3"/>
      <c r="E1011" s="3"/>
      <c r="F1011" s="3"/>
    </row>
    <row r="1012" spans="3:6" ht="13.2" x14ac:dyDescent="0.25">
      <c r="C1012" s="3"/>
      <c r="D1012" s="3"/>
      <c r="E1012" s="3"/>
      <c r="F1012" s="3"/>
    </row>
    <row r="1013" spans="3:6" ht="13.2" x14ac:dyDescent="0.25">
      <c r="C1013" s="3"/>
      <c r="D1013" s="3"/>
      <c r="E1013" s="3"/>
      <c r="F1013" s="3"/>
    </row>
    <row r="1014" spans="3:6" ht="13.2" x14ac:dyDescent="0.25">
      <c r="C1014" s="3"/>
      <c r="D1014" s="3"/>
      <c r="E1014" s="3"/>
      <c r="F1014" s="3"/>
    </row>
  </sheetData>
  <mergeCells count="8">
    <mergeCell ref="A1:S3"/>
    <mergeCell ref="A4:S4"/>
    <mergeCell ref="B17:B18"/>
    <mergeCell ref="A17:A18"/>
    <mergeCell ref="G17:G18"/>
    <mergeCell ref="C17:F17"/>
    <mergeCell ref="E11:G11"/>
    <mergeCell ref="F5:R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435"/>
  <sheetViews>
    <sheetView topLeftCell="A24" workbookViewId="0">
      <selection sqref="A1:I4"/>
    </sheetView>
  </sheetViews>
  <sheetFormatPr defaultColWidth="12.5546875" defaultRowHeight="15.75" customHeight="1" x14ac:dyDescent="0.25"/>
  <cols>
    <col min="9" max="9" width="16.109375" style="16" customWidth="1"/>
    <col min="10" max="10" width="16.109375" style="16" bestFit="1" customWidth="1"/>
    <col min="11" max="11" width="14.33203125" style="16" bestFit="1" customWidth="1"/>
  </cols>
  <sheetData>
    <row r="1" spans="1:26" ht="15.75" customHeight="1" x14ac:dyDescent="0.25">
      <c r="A1" s="114" t="s">
        <v>404</v>
      </c>
      <c r="B1" s="115"/>
      <c r="C1" s="115"/>
      <c r="D1" s="115"/>
      <c r="E1" s="115"/>
      <c r="F1" s="115"/>
      <c r="G1" s="115"/>
      <c r="H1" s="115"/>
      <c r="I1" s="116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6" ht="15.75" customHeight="1" x14ac:dyDescent="0.25">
      <c r="A2" s="117"/>
      <c r="B2" s="118"/>
      <c r="C2" s="118"/>
      <c r="D2" s="118"/>
      <c r="E2" s="118"/>
      <c r="F2" s="118"/>
      <c r="G2" s="118"/>
      <c r="H2" s="118"/>
      <c r="I2" s="11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26" ht="15.75" customHeight="1" x14ac:dyDescent="0.25">
      <c r="A3" s="117"/>
      <c r="B3" s="118"/>
      <c r="C3" s="118"/>
      <c r="D3" s="118"/>
      <c r="E3" s="118"/>
      <c r="F3" s="118"/>
      <c r="G3" s="118"/>
      <c r="H3" s="118"/>
      <c r="I3" s="11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26" ht="15.75" customHeight="1" x14ac:dyDescent="0.25">
      <c r="A4" s="120" t="s">
        <v>405</v>
      </c>
      <c r="B4" s="121"/>
      <c r="C4" s="121"/>
      <c r="D4" s="121"/>
      <c r="E4" s="121"/>
      <c r="F4" s="121"/>
      <c r="G4" s="121"/>
      <c r="H4" s="121"/>
      <c r="I4" s="122"/>
      <c r="J4" s="50"/>
      <c r="K4" s="50"/>
      <c r="L4" s="50"/>
      <c r="M4" s="50"/>
      <c r="N4" s="50"/>
      <c r="O4" s="50"/>
      <c r="P4" s="50"/>
      <c r="Q4" s="50"/>
      <c r="R4" s="50"/>
      <c r="S4" s="50"/>
    </row>
    <row r="7" spans="1:26" ht="13.2" x14ac:dyDescent="0.25">
      <c r="A7" s="125" t="s">
        <v>17</v>
      </c>
      <c r="B7" s="130" t="s">
        <v>18</v>
      </c>
      <c r="C7" s="130" t="s">
        <v>2</v>
      </c>
      <c r="D7" s="130"/>
      <c r="E7" s="130"/>
      <c r="F7" s="130"/>
      <c r="G7" s="127"/>
      <c r="H7" s="1"/>
      <c r="I7" s="14"/>
      <c r="J7" s="14"/>
      <c r="K7" s="1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2" x14ac:dyDescent="0.25">
      <c r="A8" s="126"/>
      <c r="B8" s="133"/>
      <c r="C8" s="51" t="s">
        <v>4</v>
      </c>
      <c r="D8" s="51" t="s">
        <v>5</v>
      </c>
      <c r="E8" s="51" t="s">
        <v>6</v>
      </c>
      <c r="F8" s="31" t="s">
        <v>7</v>
      </c>
      <c r="G8" s="52" t="s">
        <v>3</v>
      </c>
      <c r="H8" s="1"/>
      <c r="I8" s="14"/>
      <c r="J8" s="14"/>
      <c r="K8" s="15"/>
      <c r="L8" s="1"/>
      <c r="M8" s="1"/>
      <c r="N8" s="1"/>
      <c r="O8" s="1"/>
      <c r="P8" s="4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2" x14ac:dyDescent="0.25">
      <c r="A9" s="53">
        <v>1985</v>
      </c>
      <c r="B9" s="54"/>
      <c r="C9" s="55"/>
      <c r="D9" s="55"/>
      <c r="E9" s="55"/>
      <c r="F9" s="55"/>
      <c r="G9" s="22"/>
      <c r="H9" s="10"/>
      <c r="J9" s="17"/>
      <c r="K9" s="18"/>
      <c r="L9" s="2"/>
      <c r="M9" s="11"/>
      <c r="N9" s="11"/>
      <c r="O9" s="11"/>
      <c r="P9" s="11"/>
      <c r="Q9" s="1"/>
      <c r="R9" s="10"/>
      <c r="S9" s="10"/>
      <c r="T9" s="10"/>
      <c r="U9" s="10"/>
      <c r="V9" s="10"/>
      <c r="W9" s="5"/>
      <c r="X9" s="5"/>
      <c r="Y9" s="5"/>
      <c r="Z9" s="5"/>
    </row>
    <row r="10" spans="1:26" ht="13.2" x14ac:dyDescent="0.25">
      <c r="A10" s="61">
        <v>31048</v>
      </c>
      <c r="B10" s="62">
        <v>0</v>
      </c>
      <c r="C10" s="63">
        <v>0</v>
      </c>
      <c r="D10" s="63"/>
      <c r="E10" s="63"/>
      <c r="F10" s="63"/>
      <c r="G10" s="64" t="s">
        <v>8</v>
      </c>
      <c r="H10" s="10"/>
      <c r="I10" s="17"/>
      <c r="J10" s="17"/>
      <c r="K10" s="18"/>
      <c r="L10" s="2"/>
      <c r="M10" s="11"/>
      <c r="N10" s="11"/>
      <c r="O10" s="11"/>
      <c r="P10" s="11"/>
      <c r="Q10" s="1"/>
      <c r="R10" s="10"/>
      <c r="S10" s="10"/>
      <c r="T10" s="10"/>
      <c r="U10" s="10"/>
      <c r="V10" s="10"/>
      <c r="W10" s="5"/>
      <c r="X10" s="5"/>
      <c r="Y10" s="5"/>
      <c r="Z10" s="5"/>
    </row>
    <row r="11" spans="1:26" ht="13.2" x14ac:dyDescent="0.25">
      <c r="A11" s="66">
        <v>31079</v>
      </c>
      <c r="B11" s="67">
        <v>0</v>
      </c>
      <c r="C11" s="68">
        <v>0</v>
      </c>
      <c r="D11" s="68"/>
      <c r="E11" s="68"/>
      <c r="F11" s="68"/>
      <c r="G11" s="69" t="s">
        <v>8</v>
      </c>
      <c r="H11" s="10"/>
      <c r="I11" s="17"/>
      <c r="J11" s="17"/>
      <c r="K11" s="18"/>
      <c r="L11" s="2"/>
      <c r="M11" s="11"/>
      <c r="N11" s="11"/>
      <c r="O11" s="11"/>
      <c r="P11" s="11"/>
      <c r="Q11" s="1"/>
      <c r="R11" s="10"/>
      <c r="S11" s="10"/>
      <c r="T11" s="10"/>
      <c r="U11" s="10"/>
      <c r="V11" s="10"/>
      <c r="W11" s="5"/>
      <c r="X11" s="5"/>
      <c r="Y11" s="5"/>
      <c r="Z11" s="5"/>
    </row>
    <row r="12" spans="1:26" ht="13.2" x14ac:dyDescent="0.25">
      <c r="A12" s="65" t="s">
        <v>19</v>
      </c>
      <c r="B12" s="62">
        <v>0</v>
      </c>
      <c r="C12" s="63">
        <v>0</v>
      </c>
      <c r="D12" s="63"/>
      <c r="E12" s="63"/>
      <c r="F12" s="63"/>
      <c r="G12" s="64" t="s">
        <v>8</v>
      </c>
      <c r="H12" s="10"/>
      <c r="I12" s="17"/>
      <c r="J12" s="17"/>
      <c r="K12" s="18"/>
      <c r="L12" s="2"/>
      <c r="M12" s="11"/>
      <c r="N12" s="11"/>
      <c r="O12" s="11"/>
      <c r="P12" s="11"/>
      <c r="Q12" s="1"/>
      <c r="R12" s="10"/>
      <c r="S12" s="10"/>
      <c r="T12" s="10"/>
      <c r="U12" s="10"/>
      <c r="V12" s="10"/>
      <c r="W12" s="5"/>
      <c r="X12" s="5"/>
      <c r="Y12" s="5"/>
      <c r="Z12" s="10"/>
    </row>
    <row r="13" spans="1:26" ht="13.2" x14ac:dyDescent="0.25">
      <c r="A13" s="70" t="s">
        <v>20</v>
      </c>
      <c r="B13" s="67">
        <v>0</v>
      </c>
      <c r="C13" s="68">
        <v>0</v>
      </c>
      <c r="D13" s="68"/>
      <c r="E13" s="71"/>
      <c r="F13" s="68"/>
      <c r="G13" s="69" t="s">
        <v>8</v>
      </c>
      <c r="H13" s="10"/>
      <c r="I13" s="17"/>
      <c r="J13" s="17"/>
      <c r="K13" s="18"/>
      <c r="L13" s="2"/>
      <c r="M13" s="11"/>
      <c r="N13" s="11"/>
      <c r="O13" s="11"/>
      <c r="P13" s="11"/>
      <c r="Q13" s="1"/>
      <c r="R13" s="10"/>
      <c r="S13" s="10"/>
      <c r="T13" s="10"/>
      <c r="U13" s="10"/>
      <c r="V13" s="10"/>
      <c r="W13" s="5"/>
      <c r="X13" s="5"/>
      <c r="Y13" s="5"/>
      <c r="Z13" s="5"/>
    </row>
    <row r="14" spans="1:26" ht="13.2" x14ac:dyDescent="0.25">
      <c r="A14" s="65" t="s">
        <v>21</v>
      </c>
      <c r="B14" s="62">
        <v>1</v>
      </c>
      <c r="C14" s="63">
        <v>0</v>
      </c>
      <c r="D14" s="63"/>
      <c r="E14" s="63"/>
      <c r="F14" s="63"/>
      <c r="G14" s="64" t="s">
        <v>8</v>
      </c>
      <c r="H14" s="10"/>
      <c r="I14" s="17"/>
      <c r="J14" s="17"/>
      <c r="K14" s="18"/>
      <c r="L14" s="2"/>
      <c r="M14" s="11"/>
      <c r="N14" s="11"/>
      <c r="O14" s="11"/>
      <c r="P14" s="11"/>
      <c r="Q14" s="1"/>
      <c r="R14" s="10"/>
      <c r="S14" s="10"/>
      <c r="T14" s="10"/>
      <c r="U14" s="10"/>
      <c r="V14" s="10"/>
      <c r="W14" s="5"/>
      <c r="X14" s="5"/>
      <c r="Y14" s="5"/>
      <c r="Z14" s="5"/>
    </row>
    <row r="15" spans="1:26" ht="13.2" x14ac:dyDescent="0.25">
      <c r="A15" s="70" t="s">
        <v>22</v>
      </c>
      <c r="B15" s="67">
        <v>1</v>
      </c>
      <c r="C15" s="68">
        <f>110/1000</f>
        <v>0.11</v>
      </c>
      <c r="D15" s="68"/>
      <c r="E15" s="68"/>
      <c r="F15" s="68"/>
      <c r="G15" s="69" t="s">
        <v>8</v>
      </c>
      <c r="H15" s="10"/>
      <c r="I15" s="17"/>
      <c r="J15" s="17"/>
      <c r="K15" s="18"/>
      <c r="L15" s="2"/>
      <c r="M15" s="11"/>
      <c r="N15" s="11"/>
      <c r="O15" s="11"/>
      <c r="P15" s="11"/>
      <c r="Q15" s="1"/>
      <c r="R15" s="10"/>
      <c r="S15" s="10"/>
      <c r="T15" s="10"/>
      <c r="U15" s="10"/>
      <c r="V15" s="10"/>
      <c r="W15" s="5"/>
      <c r="X15" s="5"/>
      <c r="Y15" s="5"/>
      <c r="Z15" s="5"/>
    </row>
    <row r="16" spans="1:26" ht="13.2" x14ac:dyDescent="0.25">
      <c r="A16" s="65" t="s">
        <v>23</v>
      </c>
      <c r="B16" s="62">
        <v>0</v>
      </c>
      <c r="C16" s="63">
        <v>0</v>
      </c>
      <c r="D16" s="63"/>
      <c r="E16" s="63"/>
      <c r="F16" s="63"/>
      <c r="G16" s="64" t="s">
        <v>8</v>
      </c>
      <c r="H16" s="10"/>
      <c r="I16" s="17"/>
      <c r="J16" s="17"/>
      <c r="K16" s="18"/>
      <c r="L16" s="2"/>
      <c r="M16" s="11"/>
      <c r="N16" s="11"/>
      <c r="O16" s="11"/>
      <c r="P16" s="11"/>
      <c r="Q16" s="1"/>
      <c r="R16" s="10"/>
      <c r="S16" s="10"/>
      <c r="T16" s="10"/>
      <c r="U16" s="10"/>
      <c r="V16" s="10"/>
      <c r="W16" s="5"/>
      <c r="X16" s="5"/>
      <c r="Y16" s="5"/>
      <c r="Z16" s="5"/>
    </row>
    <row r="17" spans="1:26" ht="13.8" x14ac:dyDescent="0.3">
      <c r="A17" s="70" t="s">
        <v>24</v>
      </c>
      <c r="B17" s="67">
        <v>1</v>
      </c>
      <c r="C17" s="68">
        <v>0</v>
      </c>
      <c r="D17" s="68"/>
      <c r="E17" s="68"/>
      <c r="F17" s="68"/>
      <c r="G17" s="69" t="s">
        <v>8</v>
      </c>
      <c r="H17" s="10"/>
      <c r="I17" s="17"/>
      <c r="J17" s="7"/>
      <c r="K17" s="7"/>
      <c r="L17" s="8"/>
      <c r="M17" s="11"/>
      <c r="N17" s="11"/>
      <c r="O17" s="11"/>
      <c r="P17" s="11"/>
      <c r="Q17" s="1"/>
      <c r="R17" s="10"/>
      <c r="S17" s="10"/>
      <c r="T17" s="10"/>
      <c r="U17" s="10"/>
      <c r="V17" s="10"/>
      <c r="W17" s="5"/>
      <c r="X17" s="5"/>
      <c r="Y17" s="5"/>
      <c r="Z17" s="5"/>
    </row>
    <row r="18" spans="1:26" ht="13.8" x14ac:dyDescent="0.3">
      <c r="A18" s="65" t="s">
        <v>25</v>
      </c>
      <c r="B18" s="62">
        <v>0</v>
      </c>
      <c r="C18" s="63">
        <v>0</v>
      </c>
      <c r="D18" s="63"/>
      <c r="E18" s="63"/>
      <c r="F18" s="63"/>
      <c r="G18" s="64" t="s">
        <v>8</v>
      </c>
      <c r="H18" s="10"/>
      <c r="I18" s="17"/>
      <c r="J18"/>
      <c r="K18" s="7"/>
      <c r="L18" s="8"/>
      <c r="M18" s="11"/>
      <c r="N18" s="11"/>
      <c r="O18" s="11"/>
      <c r="P18" s="11"/>
      <c r="Q18" s="1"/>
      <c r="R18" s="10"/>
      <c r="S18" s="10"/>
      <c r="T18" s="10"/>
      <c r="U18" s="10"/>
      <c r="V18" s="10"/>
      <c r="W18" s="5"/>
      <c r="X18" s="5"/>
      <c r="Y18" s="5"/>
      <c r="Z18" s="5"/>
    </row>
    <row r="19" spans="1:26" ht="13.8" x14ac:dyDescent="0.3">
      <c r="A19" s="70" t="s">
        <v>26</v>
      </c>
      <c r="B19" s="67">
        <v>3</v>
      </c>
      <c r="C19" s="68">
        <f>115.8/1000</f>
        <v>0.1158</v>
      </c>
      <c r="D19" s="68"/>
      <c r="E19" s="68"/>
      <c r="F19" s="68"/>
      <c r="G19" s="69" t="s">
        <v>8</v>
      </c>
      <c r="H19" s="10"/>
      <c r="I19" s="17"/>
      <c r="J19"/>
      <c r="K19" s="7"/>
      <c r="L19" s="9"/>
      <c r="M19" s="11"/>
      <c r="N19" s="11"/>
      <c r="O19" s="11"/>
      <c r="P19" s="11"/>
      <c r="Q19" s="1"/>
      <c r="R19" s="10"/>
      <c r="S19" s="10"/>
      <c r="T19" s="10"/>
      <c r="U19" s="10"/>
      <c r="V19" s="10"/>
      <c r="W19" s="5"/>
      <c r="X19" s="5"/>
      <c r="Y19" s="5"/>
      <c r="Z19" s="5"/>
    </row>
    <row r="20" spans="1:26" ht="13.2" x14ac:dyDescent="0.25">
      <c r="A20" s="65" t="s">
        <v>27</v>
      </c>
      <c r="B20" s="62">
        <v>1</v>
      </c>
      <c r="C20" s="63">
        <f>17/1000</f>
        <v>1.7000000000000001E-2</v>
      </c>
      <c r="D20" s="63"/>
      <c r="E20" s="63"/>
      <c r="F20" s="63"/>
      <c r="G20" s="64" t="s">
        <v>8</v>
      </c>
      <c r="H20" s="10"/>
      <c r="I20" s="17"/>
      <c r="J20" s="17"/>
      <c r="K20" s="18"/>
      <c r="L20" s="2"/>
      <c r="M20" s="11"/>
      <c r="N20" s="11"/>
      <c r="O20" s="11"/>
      <c r="P20" s="11"/>
      <c r="Q20" s="1"/>
      <c r="R20" s="10"/>
      <c r="S20" s="10"/>
      <c r="T20" s="10"/>
      <c r="U20" s="10"/>
      <c r="V20" s="10"/>
      <c r="W20" s="5"/>
      <c r="X20" s="5"/>
      <c r="Y20" s="5"/>
      <c r="Z20" s="5"/>
    </row>
    <row r="21" spans="1:26" ht="13.2" x14ac:dyDescent="0.25">
      <c r="A21" s="70" t="s">
        <v>28</v>
      </c>
      <c r="B21" s="67">
        <v>4</v>
      </c>
      <c r="C21" s="68">
        <v>0</v>
      </c>
      <c r="D21" s="68"/>
      <c r="E21" s="68"/>
      <c r="F21" s="68"/>
      <c r="G21" s="69" t="s">
        <v>8</v>
      </c>
      <c r="H21" s="10"/>
      <c r="I21" s="17"/>
      <c r="J21" s="17"/>
      <c r="K21" s="18"/>
      <c r="L21" s="2"/>
      <c r="M21" s="11"/>
      <c r="N21" s="11"/>
      <c r="O21" s="11"/>
      <c r="P21" s="11"/>
      <c r="Q21" s="1"/>
      <c r="R21" s="10"/>
      <c r="S21" s="10"/>
      <c r="T21" s="10"/>
      <c r="U21" s="10"/>
      <c r="V21" s="10"/>
      <c r="W21" s="5"/>
      <c r="X21" s="5"/>
      <c r="Y21" s="5"/>
      <c r="Z21" s="5"/>
    </row>
    <row r="22" spans="1:26" ht="13.2" x14ac:dyDescent="0.25">
      <c r="A22" s="53">
        <v>1986</v>
      </c>
      <c r="B22" s="54"/>
      <c r="C22" s="55"/>
      <c r="D22" s="55"/>
      <c r="E22" s="55"/>
      <c r="F22" s="55"/>
      <c r="G22" s="22"/>
      <c r="H22" s="10"/>
      <c r="I22" s="17"/>
      <c r="J22" s="17"/>
      <c r="K22" s="18"/>
      <c r="L22" s="2"/>
      <c r="M22" s="11"/>
      <c r="N22" s="11"/>
      <c r="O22" s="11"/>
      <c r="P22" s="11"/>
      <c r="Q22" s="1"/>
      <c r="R22" s="10"/>
      <c r="S22" s="10"/>
      <c r="T22" s="10"/>
      <c r="U22" s="10"/>
      <c r="V22" s="10"/>
      <c r="W22" s="5"/>
      <c r="X22" s="5"/>
      <c r="Y22" s="5"/>
      <c r="Z22" s="5"/>
    </row>
    <row r="23" spans="1:26" ht="13.2" x14ac:dyDescent="0.25">
      <c r="A23" s="65" t="s">
        <v>29</v>
      </c>
      <c r="B23" s="62">
        <v>1</v>
      </c>
      <c r="C23" s="63">
        <f>7.18/1000</f>
        <v>7.1799999999999998E-3</v>
      </c>
      <c r="D23" s="63"/>
      <c r="E23" s="63"/>
      <c r="F23" s="63"/>
      <c r="G23" s="64" t="s">
        <v>8</v>
      </c>
      <c r="H23" s="10"/>
      <c r="I23" s="17"/>
      <c r="J23" s="17"/>
      <c r="K23" s="18"/>
      <c r="L23" s="2"/>
      <c r="M23" s="11"/>
      <c r="N23" s="11"/>
      <c r="O23" s="11"/>
      <c r="P23" s="11"/>
      <c r="Q23" s="1"/>
      <c r="R23" s="10"/>
      <c r="S23" s="10"/>
      <c r="T23" s="10"/>
      <c r="U23" s="10"/>
      <c r="V23" s="10"/>
      <c r="W23" s="5"/>
      <c r="X23" s="5"/>
      <c r="Y23" s="5"/>
      <c r="Z23" s="5"/>
    </row>
    <row r="24" spans="1:26" ht="13.2" x14ac:dyDescent="0.25">
      <c r="A24" s="70" t="s">
        <v>30</v>
      </c>
      <c r="B24" s="67">
        <v>0</v>
      </c>
      <c r="C24" s="68">
        <v>0</v>
      </c>
      <c r="D24" s="68"/>
      <c r="E24" s="68"/>
      <c r="F24" s="68"/>
      <c r="G24" s="69" t="s">
        <v>8</v>
      </c>
      <c r="H24" s="10"/>
      <c r="I24" s="17"/>
      <c r="J24" s="17"/>
      <c r="K24" s="18"/>
      <c r="L24" s="2"/>
      <c r="M24" s="11"/>
      <c r="N24" s="11"/>
      <c r="O24" s="11"/>
      <c r="P24" s="11"/>
      <c r="Q24" s="1"/>
      <c r="R24" s="10"/>
      <c r="S24" s="10"/>
      <c r="T24" s="10"/>
      <c r="U24" s="10"/>
      <c r="V24" s="10"/>
      <c r="W24" s="5"/>
      <c r="X24" s="5"/>
      <c r="Y24" s="5"/>
      <c r="Z24" s="5"/>
    </row>
    <row r="25" spans="1:26" ht="13.2" x14ac:dyDescent="0.25">
      <c r="A25" s="65" t="s">
        <v>31</v>
      </c>
      <c r="B25" s="62">
        <v>1</v>
      </c>
      <c r="C25" s="63">
        <v>0</v>
      </c>
      <c r="D25" s="63"/>
      <c r="E25" s="63"/>
      <c r="F25" s="63"/>
      <c r="G25" s="64" t="s">
        <v>8</v>
      </c>
      <c r="H25" s="10"/>
      <c r="I25" s="17"/>
      <c r="J25" s="17"/>
      <c r="K25" s="18"/>
      <c r="L25" s="2"/>
      <c r="M25" s="11"/>
      <c r="N25" s="11"/>
      <c r="O25" s="11"/>
      <c r="P25" s="11"/>
      <c r="Q25" s="1"/>
      <c r="R25" s="10"/>
      <c r="S25" s="10"/>
      <c r="T25" s="10"/>
      <c r="U25" s="10"/>
      <c r="V25" s="10"/>
      <c r="W25" s="5"/>
      <c r="X25" s="5"/>
      <c r="Y25" s="5"/>
      <c r="Z25" s="5"/>
    </row>
    <row r="26" spans="1:26" ht="13.2" x14ac:dyDescent="0.25">
      <c r="A26" s="70" t="s">
        <v>32</v>
      </c>
      <c r="B26" s="67">
        <v>0</v>
      </c>
      <c r="C26" s="68">
        <v>0</v>
      </c>
      <c r="D26" s="68"/>
      <c r="E26" s="68"/>
      <c r="F26" s="68"/>
      <c r="G26" s="69" t="s">
        <v>8</v>
      </c>
      <c r="H26" s="10"/>
      <c r="I26" s="17"/>
      <c r="J26" s="17"/>
      <c r="K26" s="18"/>
      <c r="L26" s="2"/>
      <c r="M26" s="11"/>
      <c r="N26" s="11"/>
      <c r="O26" s="11"/>
      <c r="P26" s="11"/>
      <c r="Q26" s="1"/>
      <c r="R26" s="10"/>
      <c r="S26" s="10"/>
      <c r="T26" s="10"/>
      <c r="U26" s="10"/>
      <c r="V26" s="10"/>
      <c r="W26" s="5"/>
      <c r="X26" s="5"/>
      <c r="Y26" s="5"/>
      <c r="Z26" s="5"/>
    </row>
    <row r="27" spans="1:26" ht="13.2" x14ac:dyDescent="0.25">
      <c r="A27" s="65" t="s">
        <v>33</v>
      </c>
      <c r="B27" s="62">
        <v>0</v>
      </c>
      <c r="C27" s="63">
        <v>0</v>
      </c>
      <c r="D27" s="63"/>
      <c r="E27" s="63"/>
      <c r="F27" s="63"/>
      <c r="G27" s="64" t="s">
        <v>8</v>
      </c>
      <c r="H27" s="10"/>
      <c r="I27" s="17"/>
      <c r="J27" s="17"/>
      <c r="K27" s="18"/>
      <c r="L27" s="2"/>
      <c r="M27" s="11"/>
      <c r="N27" s="11"/>
      <c r="O27" s="11"/>
      <c r="P27" s="11"/>
      <c r="Q27" s="1"/>
      <c r="R27" s="10"/>
      <c r="S27" s="10"/>
      <c r="T27" s="10"/>
      <c r="U27" s="10"/>
      <c r="V27" s="10"/>
      <c r="W27" s="5"/>
      <c r="X27" s="5"/>
      <c r="Y27" s="5"/>
      <c r="Z27" s="5"/>
    </row>
    <row r="28" spans="1:26" ht="13.2" x14ac:dyDescent="0.25">
      <c r="A28" s="70" t="s">
        <v>34</v>
      </c>
      <c r="B28" s="67">
        <v>0</v>
      </c>
      <c r="C28" s="68">
        <v>0</v>
      </c>
      <c r="D28" s="68"/>
      <c r="E28" s="68"/>
      <c r="F28" s="68"/>
      <c r="G28" s="69" t="s">
        <v>8</v>
      </c>
      <c r="H28" s="10"/>
      <c r="I28" s="17"/>
      <c r="J28" s="17"/>
      <c r="K28" s="18"/>
      <c r="L28" s="2"/>
      <c r="M28" s="11"/>
      <c r="N28" s="11"/>
      <c r="O28" s="11"/>
      <c r="P28" s="11"/>
      <c r="Q28" s="1"/>
      <c r="R28" s="10"/>
      <c r="S28" s="10"/>
      <c r="T28" s="10"/>
      <c r="U28" s="10"/>
      <c r="V28" s="10"/>
      <c r="W28" s="5"/>
      <c r="X28" s="5"/>
      <c r="Y28" s="5"/>
      <c r="Z28" s="5"/>
    </row>
    <row r="29" spans="1:26" ht="13.2" x14ac:dyDescent="0.25">
      <c r="A29" s="65" t="s">
        <v>35</v>
      </c>
      <c r="B29" s="62">
        <v>3</v>
      </c>
      <c r="C29" s="63">
        <f>103.5/1000</f>
        <v>0.10349999999999999</v>
      </c>
      <c r="D29" s="63"/>
      <c r="E29" s="63"/>
      <c r="F29" s="63"/>
      <c r="G29" s="64" t="s">
        <v>8</v>
      </c>
      <c r="H29" s="10"/>
      <c r="I29" s="17"/>
      <c r="J29" s="17"/>
      <c r="K29" s="18"/>
      <c r="L29" s="2"/>
      <c r="M29" s="11"/>
      <c r="N29" s="11"/>
      <c r="O29" s="11"/>
      <c r="P29" s="11"/>
      <c r="Q29" s="1"/>
      <c r="R29" s="10"/>
      <c r="S29" s="10"/>
      <c r="T29" s="10"/>
      <c r="U29" s="10"/>
      <c r="V29" s="10"/>
      <c r="W29" s="5"/>
      <c r="X29" s="5"/>
      <c r="Y29" s="5"/>
      <c r="Z29" s="5"/>
    </row>
    <row r="30" spans="1:26" ht="13.2" x14ac:dyDescent="0.25">
      <c r="A30" s="70" t="s">
        <v>36</v>
      </c>
      <c r="B30" s="67">
        <v>2</v>
      </c>
      <c r="C30" s="68">
        <v>0</v>
      </c>
      <c r="D30" s="68"/>
      <c r="E30" s="68"/>
      <c r="F30" s="68"/>
      <c r="G30" s="69" t="s">
        <v>8</v>
      </c>
      <c r="H30" s="10"/>
      <c r="I30" s="17"/>
      <c r="J30" s="17"/>
      <c r="K30" s="18"/>
      <c r="L30" s="2"/>
      <c r="M30" s="11"/>
      <c r="N30" s="11"/>
      <c r="O30" s="11"/>
      <c r="P30" s="11"/>
      <c r="Q30" s="1"/>
      <c r="R30" s="10"/>
      <c r="S30" s="10"/>
      <c r="T30" s="10"/>
      <c r="U30" s="10"/>
      <c r="V30" s="10"/>
      <c r="W30" s="5"/>
      <c r="X30" s="5"/>
      <c r="Y30" s="5"/>
      <c r="Z30" s="5"/>
    </row>
    <row r="31" spans="1:26" ht="13.2" x14ac:dyDescent="0.25">
      <c r="A31" s="65" t="s">
        <v>37</v>
      </c>
      <c r="B31" s="62">
        <v>0</v>
      </c>
      <c r="C31" s="63">
        <v>0</v>
      </c>
      <c r="D31" s="63"/>
      <c r="E31" s="63"/>
      <c r="F31" s="63"/>
      <c r="G31" s="64" t="s">
        <v>8</v>
      </c>
      <c r="H31" s="10"/>
      <c r="I31" s="17"/>
      <c r="J31" s="17"/>
      <c r="K31" s="18"/>
      <c r="L31" s="2"/>
      <c r="M31" s="11"/>
      <c r="N31" s="11"/>
      <c r="O31" s="11"/>
      <c r="P31" s="11"/>
      <c r="Q31" s="1"/>
      <c r="R31" s="10"/>
      <c r="S31" s="10"/>
      <c r="T31" s="10"/>
      <c r="U31" s="10"/>
      <c r="V31" s="10"/>
      <c r="W31" s="5"/>
      <c r="X31" s="5"/>
      <c r="Y31" s="5"/>
      <c r="Z31" s="5"/>
    </row>
    <row r="32" spans="1:26" ht="13.2" x14ac:dyDescent="0.25">
      <c r="A32" s="70" t="s">
        <v>38</v>
      </c>
      <c r="B32" s="67">
        <v>0</v>
      </c>
      <c r="C32" s="68">
        <v>0</v>
      </c>
      <c r="D32" s="68"/>
      <c r="E32" s="68"/>
      <c r="F32" s="68"/>
      <c r="G32" s="69" t="s">
        <v>8</v>
      </c>
      <c r="H32" s="10"/>
      <c r="I32" s="17"/>
      <c r="J32" s="17"/>
      <c r="K32" s="18"/>
      <c r="L32" s="2"/>
      <c r="M32" s="11"/>
      <c r="N32" s="11"/>
      <c r="O32" s="11"/>
      <c r="P32" s="11"/>
      <c r="Q32" s="1"/>
      <c r="R32" s="10"/>
      <c r="S32" s="10"/>
      <c r="T32" s="10"/>
      <c r="U32" s="10"/>
      <c r="V32" s="10"/>
      <c r="W32" s="5"/>
      <c r="X32" s="5"/>
      <c r="Y32" s="5"/>
      <c r="Z32" s="5"/>
    </row>
    <row r="33" spans="1:26" ht="13.2" x14ac:dyDescent="0.25">
      <c r="A33" s="65" t="s">
        <v>39</v>
      </c>
      <c r="B33" s="62">
        <v>3</v>
      </c>
      <c r="C33" s="63">
        <f>247.1/1000</f>
        <v>0.24709999999999999</v>
      </c>
      <c r="D33" s="63"/>
      <c r="E33" s="63"/>
      <c r="F33" s="63"/>
      <c r="G33" s="64" t="s">
        <v>8</v>
      </c>
      <c r="H33" s="10"/>
      <c r="I33" s="17"/>
      <c r="J33" s="17"/>
      <c r="K33" s="18"/>
      <c r="L33" s="2"/>
      <c r="M33" s="11"/>
      <c r="N33" s="11"/>
      <c r="O33" s="11"/>
      <c r="P33" s="11"/>
      <c r="Q33" s="1"/>
      <c r="R33" s="10"/>
      <c r="S33" s="10"/>
      <c r="T33" s="10"/>
      <c r="U33" s="10"/>
      <c r="V33" s="10"/>
      <c r="W33" s="5"/>
      <c r="X33" s="5"/>
      <c r="Y33" s="5"/>
      <c r="Z33" s="5"/>
    </row>
    <row r="34" spans="1:26" ht="13.2" x14ac:dyDescent="0.25">
      <c r="A34" s="70" t="s">
        <v>40</v>
      </c>
      <c r="B34" s="67">
        <v>6</v>
      </c>
      <c r="C34" s="68">
        <f>48.2/1000</f>
        <v>4.82E-2</v>
      </c>
      <c r="D34" s="68"/>
      <c r="E34" s="68"/>
      <c r="F34" s="68"/>
      <c r="G34" s="69" t="s">
        <v>8</v>
      </c>
      <c r="H34" s="10"/>
      <c r="I34" s="17"/>
      <c r="J34" s="17"/>
      <c r="K34" s="18"/>
      <c r="L34" s="2"/>
      <c r="M34" s="11"/>
      <c r="N34" s="11"/>
      <c r="O34" s="11"/>
      <c r="P34" s="10"/>
      <c r="Q34" s="1"/>
      <c r="R34" s="10"/>
      <c r="S34" s="10"/>
      <c r="T34" s="10"/>
      <c r="U34" s="10"/>
      <c r="V34" s="10"/>
      <c r="W34" s="5"/>
      <c r="X34" s="5"/>
      <c r="Y34" s="5"/>
      <c r="Z34" s="5"/>
    </row>
    <row r="35" spans="1:26" ht="13.2" x14ac:dyDescent="0.25">
      <c r="A35" s="53">
        <v>1987</v>
      </c>
      <c r="B35" s="54"/>
      <c r="C35" s="55"/>
      <c r="D35" s="55"/>
      <c r="E35" s="55"/>
      <c r="F35" s="55"/>
      <c r="G35" s="22"/>
      <c r="H35" s="10"/>
      <c r="I35" s="17"/>
      <c r="J35" s="17"/>
      <c r="K35" s="18"/>
      <c r="L35" s="2"/>
      <c r="M35" s="11"/>
      <c r="N35" s="11"/>
      <c r="O35" s="11"/>
      <c r="P35" s="11"/>
      <c r="Q35" s="1"/>
      <c r="R35" s="10"/>
      <c r="S35" s="10"/>
      <c r="T35" s="10"/>
      <c r="U35" s="10"/>
      <c r="V35" s="10"/>
      <c r="W35" s="5"/>
      <c r="X35" s="5"/>
      <c r="Y35" s="5"/>
      <c r="Z35" s="5"/>
    </row>
    <row r="36" spans="1:26" ht="13.2" x14ac:dyDescent="0.25">
      <c r="A36" s="65" t="s">
        <v>41</v>
      </c>
      <c r="B36" s="62">
        <v>1</v>
      </c>
      <c r="C36" s="63">
        <v>4.0199999999999996</v>
      </c>
      <c r="D36" s="63"/>
      <c r="E36" s="63"/>
      <c r="F36" s="63"/>
      <c r="G36" s="64" t="s">
        <v>8</v>
      </c>
      <c r="H36" s="10"/>
      <c r="I36" s="17"/>
      <c r="J36" s="17"/>
      <c r="K36" s="18"/>
      <c r="L36" s="2"/>
      <c r="M36" s="11"/>
      <c r="N36" s="11"/>
      <c r="O36" s="11"/>
      <c r="P36" s="11"/>
      <c r="Q36" s="1"/>
      <c r="R36" s="10"/>
      <c r="S36" s="10"/>
      <c r="T36" s="10"/>
      <c r="U36" s="10"/>
      <c r="V36" s="10"/>
      <c r="W36" s="5"/>
      <c r="X36" s="5"/>
      <c r="Y36" s="5"/>
      <c r="Z36" s="5"/>
    </row>
    <row r="37" spans="1:26" ht="13.2" x14ac:dyDescent="0.25">
      <c r="A37" s="70" t="s">
        <v>42</v>
      </c>
      <c r="B37" s="67">
        <v>0</v>
      </c>
      <c r="C37" s="68">
        <v>0</v>
      </c>
      <c r="D37" s="68"/>
      <c r="E37" s="68"/>
      <c r="F37" s="68"/>
      <c r="G37" s="69" t="s">
        <v>8</v>
      </c>
      <c r="H37" s="10"/>
      <c r="I37" s="17"/>
      <c r="J37" s="17"/>
      <c r="K37" s="18"/>
      <c r="L37" s="2"/>
      <c r="M37" s="11"/>
      <c r="N37" s="11"/>
      <c r="O37" s="11"/>
      <c r="P37" s="11"/>
      <c r="Q37" s="1"/>
      <c r="R37" s="10"/>
      <c r="S37" s="10"/>
      <c r="T37" s="10"/>
      <c r="U37" s="10"/>
      <c r="V37" s="10"/>
      <c r="W37" s="5"/>
      <c r="X37" s="5"/>
      <c r="Y37" s="5"/>
      <c r="Z37" s="5"/>
    </row>
    <row r="38" spans="1:26" ht="13.2" x14ac:dyDescent="0.25">
      <c r="A38" s="65" t="s">
        <v>43</v>
      </c>
      <c r="B38" s="62">
        <v>1</v>
      </c>
      <c r="C38" s="63">
        <v>1.79</v>
      </c>
      <c r="D38" s="63"/>
      <c r="E38" s="63"/>
      <c r="F38" s="63"/>
      <c r="G38" s="64" t="s">
        <v>8</v>
      </c>
      <c r="H38" s="10"/>
      <c r="I38" s="17"/>
      <c r="J38" s="17"/>
      <c r="K38" s="18"/>
      <c r="L38" s="2"/>
      <c r="M38" s="11"/>
      <c r="N38" s="11"/>
      <c r="O38" s="11"/>
      <c r="P38" s="11"/>
      <c r="Q38" s="1"/>
      <c r="R38" s="10"/>
      <c r="S38" s="10"/>
      <c r="T38" s="10"/>
      <c r="U38" s="10"/>
      <c r="V38" s="10"/>
      <c r="W38" s="5"/>
      <c r="X38" s="5"/>
      <c r="Y38" s="5"/>
      <c r="Z38" s="5"/>
    </row>
    <row r="39" spans="1:26" ht="13.2" x14ac:dyDescent="0.25">
      <c r="A39" s="70" t="s">
        <v>44</v>
      </c>
      <c r="B39" s="73">
        <v>0</v>
      </c>
      <c r="C39" s="68">
        <v>0</v>
      </c>
      <c r="D39" s="68"/>
      <c r="E39" s="68"/>
      <c r="F39" s="68"/>
      <c r="G39" s="69" t="s">
        <v>8</v>
      </c>
      <c r="H39" s="10"/>
      <c r="I39" s="17"/>
      <c r="J39" s="17"/>
      <c r="K39" s="18"/>
      <c r="L39" s="2"/>
      <c r="M39" s="11"/>
      <c r="N39" s="11"/>
      <c r="O39" s="11"/>
      <c r="P39" s="11"/>
      <c r="Q39" s="1"/>
      <c r="R39" s="10"/>
      <c r="S39" s="10"/>
      <c r="T39" s="10"/>
      <c r="U39" s="10"/>
      <c r="V39" s="10"/>
      <c r="W39" s="5"/>
      <c r="X39" s="5"/>
      <c r="Y39" s="5"/>
      <c r="Z39" s="5"/>
    </row>
    <row r="40" spans="1:26" ht="13.2" x14ac:dyDescent="0.25">
      <c r="A40" s="65" t="s">
        <v>45</v>
      </c>
      <c r="B40" s="62">
        <v>2</v>
      </c>
      <c r="C40" s="63">
        <v>0</v>
      </c>
      <c r="D40" s="63"/>
      <c r="E40" s="63"/>
      <c r="F40" s="63"/>
      <c r="G40" s="64" t="s">
        <v>8</v>
      </c>
      <c r="H40" s="10"/>
      <c r="I40" s="17"/>
      <c r="J40" s="17"/>
      <c r="K40" s="18"/>
      <c r="L40" s="2"/>
      <c r="M40" s="11"/>
      <c r="N40" s="11"/>
      <c r="O40" s="11"/>
      <c r="P40" s="11"/>
      <c r="Q40" s="1"/>
      <c r="R40" s="10"/>
      <c r="S40" s="10"/>
      <c r="T40" s="10"/>
      <c r="U40" s="10"/>
      <c r="V40" s="10"/>
      <c r="W40" s="5"/>
      <c r="X40" s="5"/>
      <c r="Y40" s="5"/>
      <c r="Z40" s="5"/>
    </row>
    <row r="41" spans="1:26" ht="13.2" x14ac:dyDescent="0.25">
      <c r="A41" s="70" t="s">
        <v>46</v>
      </c>
      <c r="B41" s="67">
        <v>4</v>
      </c>
      <c r="C41" s="68">
        <f>85.3/1000</f>
        <v>8.5300000000000001E-2</v>
      </c>
      <c r="D41" s="68"/>
      <c r="E41" s="68"/>
      <c r="F41" s="68"/>
      <c r="G41" s="69" t="s">
        <v>8</v>
      </c>
      <c r="H41" s="10"/>
      <c r="I41" s="17"/>
      <c r="J41" s="17"/>
      <c r="K41" s="18"/>
      <c r="L41" s="2"/>
      <c r="M41" s="11"/>
      <c r="N41" s="11"/>
      <c r="O41" s="11"/>
      <c r="P41" s="11"/>
      <c r="Q41" s="1"/>
      <c r="R41" s="10"/>
      <c r="S41" s="10"/>
      <c r="T41" s="10"/>
      <c r="U41" s="10"/>
      <c r="V41" s="10"/>
      <c r="W41" s="5"/>
      <c r="X41" s="5"/>
      <c r="Y41" s="5"/>
      <c r="Z41" s="5"/>
    </row>
    <row r="42" spans="1:26" ht="13.2" x14ac:dyDescent="0.25">
      <c r="A42" s="65" t="s">
        <v>47</v>
      </c>
      <c r="B42" s="62">
        <v>0</v>
      </c>
      <c r="C42" s="63">
        <v>0</v>
      </c>
      <c r="D42" s="63"/>
      <c r="E42" s="63"/>
      <c r="F42" s="63"/>
      <c r="G42" s="64" t="s">
        <v>8</v>
      </c>
      <c r="H42" s="10"/>
      <c r="I42" s="17"/>
      <c r="J42" s="17"/>
      <c r="K42" s="18"/>
      <c r="L42" s="2"/>
      <c r="M42" s="11"/>
      <c r="N42" s="11"/>
      <c r="O42" s="11"/>
      <c r="P42" s="11"/>
      <c r="Q42" s="1"/>
      <c r="R42" s="10"/>
      <c r="S42" s="10"/>
      <c r="T42" s="10"/>
      <c r="U42" s="10"/>
      <c r="V42" s="10"/>
      <c r="W42" s="5"/>
      <c r="X42" s="5"/>
      <c r="Y42" s="5"/>
      <c r="Z42" s="5"/>
    </row>
    <row r="43" spans="1:26" ht="13.2" x14ac:dyDescent="0.25">
      <c r="A43" s="70" t="s">
        <v>48</v>
      </c>
      <c r="B43" s="67">
        <v>2</v>
      </c>
      <c r="C43" s="68">
        <f>500/1000</f>
        <v>0.5</v>
      </c>
      <c r="D43" s="68"/>
      <c r="E43" s="68"/>
      <c r="F43" s="68"/>
      <c r="G43" s="69" t="s">
        <v>8</v>
      </c>
      <c r="H43" s="10"/>
      <c r="I43" s="17"/>
      <c r="J43" s="17"/>
      <c r="K43" s="18"/>
      <c r="L43" s="2"/>
      <c r="M43" s="11"/>
      <c r="N43" s="11"/>
      <c r="O43" s="11"/>
      <c r="P43" s="11"/>
      <c r="Q43" s="1"/>
      <c r="R43" s="10"/>
      <c r="S43" s="10"/>
      <c r="T43" s="10"/>
      <c r="U43" s="10"/>
      <c r="V43" s="10"/>
      <c r="W43" s="5"/>
      <c r="X43" s="5"/>
      <c r="Y43" s="5"/>
      <c r="Z43" s="5"/>
    </row>
    <row r="44" spans="1:26" ht="13.2" x14ac:dyDescent="0.25">
      <c r="A44" s="65" t="s">
        <v>49</v>
      </c>
      <c r="B44" s="62">
        <v>2</v>
      </c>
      <c r="C44" s="63">
        <v>0</v>
      </c>
      <c r="D44" s="63"/>
      <c r="E44" s="63"/>
      <c r="F44" s="63"/>
      <c r="G44" s="64" t="s">
        <v>8</v>
      </c>
      <c r="H44" s="10"/>
      <c r="I44" s="17"/>
      <c r="J44" s="17"/>
      <c r="K44" s="18"/>
      <c r="L44" s="2"/>
      <c r="M44" s="11"/>
      <c r="N44" s="11"/>
      <c r="O44" s="11"/>
      <c r="P44" s="11"/>
      <c r="Q44" s="1"/>
      <c r="R44" s="10"/>
      <c r="S44" s="10"/>
      <c r="T44" s="10"/>
      <c r="U44" s="10"/>
      <c r="V44" s="10"/>
      <c r="W44" s="5"/>
      <c r="X44" s="5"/>
      <c r="Y44" s="5"/>
      <c r="Z44" s="5"/>
    </row>
    <row r="45" spans="1:26" ht="13.2" x14ac:dyDescent="0.25">
      <c r="A45" s="70" t="s">
        <v>50</v>
      </c>
      <c r="B45" s="67">
        <v>2</v>
      </c>
      <c r="C45" s="68">
        <f>351.6/1000</f>
        <v>0.35160000000000002</v>
      </c>
      <c r="D45" s="68"/>
      <c r="E45" s="68"/>
      <c r="F45" s="68"/>
      <c r="G45" s="69" t="s">
        <v>8</v>
      </c>
      <c r="H45" s="10"/>
      <c r="I45" s="17"/>
      <c r="J45" s="17"/>
      <c r="K45" s="18"/>
      <c r="L45" s="2"/>
      <c r="M45" s="11"/>
      <c r="N45" s="11"/>
      <c r="O45" s="11"/>
      <c r="P45" s="11"/>
      <c r="Q45" s="1"/>
      <c r="R45" s="10"/>
      <c r="S45" s="10"/>
      <c r="T45" s="10"/>
      <c r="U45" s="10"/>
      <c r="V45" s="10"/>
      <c r="W45" s="5"/>
      <c r="X45" s="5"/>
      <c r="Y45" s="5"/>
      <c r="Z45" s="5"/>
    </row>
    <row r="46" spans="1:26" ht="13.2" x14ac:dyDescent="0.25">
      <c r="A46" s="65" t="s">
        <v>51</v>
      </c>
      <c r="B46" s="62">
        <v>0</v>
      </c>
      <c r="C46" s="63">
        <v>0</v>
      </c>
      <c r="D46" s="63"/>
      <c r="E46" s="63"/>
      <c r="F46" s="63"/>
      <c r="G46" s="64" t="s">
        <v>8</v>
      </c>
      <c r="H46" s="10"/>
      <c r="I46" s="17"/>
      <c r="J46" s="17"/>
      <c r="K46" s="18"/>
      <c r="L46" s="2"/>
      <c r="M46" s="11"/>
      <c r="N46" s="11"/>
      <c r="O46" s="11"/>
      <c r="P46" s="11"/>
      <c r="Q46" s="1"/>
      <c r="R46" s="10"/>
      <c r="S46" s="10"/>
      <c r="T46" s="10"/>
      <c r="U46" s="10"/>
      <c r="V46" s="10"/>
      <c r="W46" s="5"/>
      <c r="X46" s="5"/>
      <c r="Y46" s="5"/>
      <c r="Z46" s="5"/>
    </row>
    <row r="47" spans="1:26" ht="13.2" x14ac:dyDescent="0.25">
      <c r="A47" s="70" t="s">
        <v>52</v>
      </c>
      <c r="B47" s="67">
        <v>4</v>
      </c>
      <c r="C47" s="68">
        <f>117.5/1000</f>
        <v>0.11749999999999999</v>
      </c>
      <c r="D47" s="68"/>
      <c r="E47" s="68"/>
      <c r="F47" s="68"/>
      <c r="G47" s="69" t="s">
        <v>8</v>
      </c>
      <c r="H47" s="10"/>
      <c r="I47" s="17"/>
      <c r="J47" s="17"/>
      <c r="K47" s="18"/>
      <c r="L47" s="2"/>
      <c r="M47" s="11"/>
      <c r="N47" s="11"/>
      <c r="O47" s="11"/>
      <c r="P47" s="11"/>
      <c r="Q47" s="1"/>
      <c r="R47" s="10"/>
      <c r="S47" s="10"/>
      <c r="T47" s="10"/>
      <c r="U47" s="10"/>
      <c r="V47" s="10"/>
      <c r="W47" s="5"/>
      <c r="X47" s="5"/>
      <c r="Y47" s="5"/>
      <c r="Z47" s="5"/>
    </row>
    <row r="48" spans="1:26" ht="13.2" x14ac:dyDescent="0.25">
      <c r="A48" s="53">
        <v>1988</v>
      </c>
      <c r="B48" s="54"/>
      <c r="C48" s="55"/>
      <c r="D48" s="55"/>
      <c r="E48" s="55"/>
      <c r="F48" s="55"/>
      <c r="G48" s="22"/>
      <c r="H48" s="10"/>
      <c r="I48" s="17"/>
      <c r="J48" s="17"/>
      <c r="K48" s="18"/>
      <c r="L48" s="2"/>
      <c r="M48" s="11"/>
      <c r="N48" s="11"/>
      <c r="O48" s="11"/>
      <c r="P48" s="11"/>
      <c r="Q48" s="1"/>
      <c r="R48" s="10"/>
      <c r="S48" s="10"/>
      <c r="T48" s="10"/>
      <c r="U48" s="10"/>
      <c r="V48" s="10"/>
      <c r="W48" s="5"/>
      <c r="X48" s="5"/>
      <c r="Y48" s="5"/>
      <c r="Z48" s="5"/>
    </row>
    <row r="49" spans="1:26" ht="13.2" x14ac:dyDescent="0.25">
      <c r="A49" s="65" t="s">
        <v>53</v>
      </c>
      <c r="B49" s="62">
        <v>1</v>
      </c>
      <c r="C49" s="63">
        <v>0</v>
      </c>
      <c r="D49" s="63"/>
      <c r="E49" s="63"/>
      <c r="F49" s="63"/>
      <c r="G49" s="64" t="s">
        <v>8</v>
      </c>
      <c r="H49" s="10"/>
      <c r="I49" s="17"/>
      <c r="J49" s="17"/>
      <c r="K49" s="18"/>
      <c r="L49" s="2"/>
      <c r="M49" s="11"/>
      <c r="N49" s="11"/>
      <c r="O49" s="11"/>
      <c r="P49" s="11"/>
      <c r="Q49" s="1"/>
      <c r="R49" s="10"/>
      <c r="S49" s="10"/>
      <c r="T49" s="10"/>
      <c r="U49" s="10"/>
      <c r="V49" s="10"/>
      <c r="W49" s="5"/>
      <c r="X49" s="5"/>
      <c r="Y49" s="5"/>
      <c r="Z49" s="5"/>
    </row>
    <row r="50" spans="1:26" ht="13.2" x14ac:dyDescent="0.25">
      <c r="A50" s="70" t="s">
        <v>54</v>
      </c>
      <c r="B50" s="67">
        <v>0</v>
      </c>
      <c r="C50" s="68">
        <v>0</v>
      </c>
      <c r="D50" s="68"/>
      <c r="E50" s="68"/>
      <c r="F50" s="68"/>
      <c r="G50" s="69" t="s">
        <v>8</v>
      </c>
      <c r="H50" s="10"/>
      <c r="I50" s="17"/>
      <c r="J50" s="17"/>
      <c r="K50" s="18"/>
      <c r="L50" s="2"/>
      <c r="M50" s="11"/>
      <c r="N50" s="11"/>
      <c r="O50" s="11"/>
      <c r="P50" s="11"/>
      <c r="Q50" s="1"/>
      <c r="R50" s="10"/>
      <c r="S50" s="10"/>
      <c r="T50" s="10"/>
      <c r="U50" s="10"/>
      <c r="V50" s="10"/>
      <c r="W50" s="5"/>
      <c r="X50" s="5"/>
      <c r="Y50" s="5"/>
      <c r="Z50" s="5"/>
    </row>
    <row r="51" spans="1:26" ht="13.2" x14ac:dyDescent="0.25">
      <c r="A51" s="65" t="s">
        <v>55</v>
      </c>
      <c r="B51" s="62">
        <v>1</v>
      </c>
      <c r="C51" s="63">
        <f>618.9/1000</f>
        <v>0.61890000000000001</v>
      </c>
      <c r="D51" s="63"/>
      <c r="E51" s="63"/>
      <c r="F51" s="63"/>
      <c r="G51" s="64" t="s">
        <v>8</v>
      </c>
      <c r="H51" s="10"/>
      <c r="I51" s="17"/>
      <c r="J51" s="17"/>
      <c r="K51" s="18"/>
      <c r="L51" s="2"/>
      <c r="M51" s="11"/>
      <c r="N51" s="11"/>
      <c r="O51" s="11"/>
      <c r="P51" s="11"/>
      <c r="Q51" s="1"/>
      <c r="R51" s="10"/>
      <c r="S51" s="10"/>
      <c r="T51" s="10"/>
      <c r="U51" s="10"/>
      <c r="V51" s="10"/>
      <c r="W51" s="5"/>
      <c r="X51" s="5"/>
      <c r="Y51" s="5"/>
      <c r="Z51" s="5"/>
    </row>
    <row r="52" spans="1:26" ht="13.2" x14ac:dyDescent="0.25">
      <c r="A52" s="70" t="s">
        <v>56</v>
      </c>
      <c r="B52" s="67">
        <v>1</v>
      </c>
      <c r="C52" s="68">
        <v>0</v>
      </c>
      <c r="D52" s="68"/>
      <c r="E52" s="68"/>
      <c r="F52" s="68"/>
      <c r="G52" s="69" t="s">
        <v>8</v>
      </c>
      <c r="H52" s="10"/>
      <c r="I52" s="17"/>
      <c r="J52" s="17"/>
      <c r="K52" s="18"/>
      <c r="L52" s="2"/>
      <c r="M52" s="11"/>
      <c r="N52" s="11"/>
      <c r="O52" s="11"/>
      <c r="P52" s="11"/>
      <c r="Q52" s="1"/>
      <c r="R52" s="10"/>
      <c r="S52" s="10"/>
      <c r="T52" s="10"/>
      <c r="U52" s="10"/>
      <c r="V52" s="10"/>
      <c r="W52" s="5"/>
      <c r="X52" s="5"/>
      <c r="Y52" s="5"/>
      <c r="Z52" s="5"/>
    </row>
    <row r="53" spans="1:26" ht="13.2" x14ac:dyDescent="0.25">
      <c r="A53" s="65" t="s">
        <v>57</v>
      </c>
      <c r="B53" s="62">
        <v>0</v>
      </c>
      <c r="C53" s="63">
        <v>0</v>
      </c>
      <c r="D53" s="63"/>
      <c r="E53" s="63"/>
      <c r="F53" s="63"/>
      <c r="G53" s="64" t="s">
        <v>8</v>
      </c>
      <c r="H53" s="10"/>
      <c r="I53" s="17"/>
      <c r="J53" s="17"/>
      <c r="K53" s="18"/>
      <c r="L53" s="2"/>
      <c r="M53" s="11"/>
      <c r="N53" s="11"/>
      <c r="O53" s="11"/>
      <c r="P53" s="11"/>
      <c r="Q53" s="1"/>
      <c r="R53" s="10"/>
      <c r="S53" s="10"/>
      <c r="T53" s="10"/>
      <c r="U53" s="10"/>
      <c r="V53" s="10"/>
      <c r="W53" s="5"/>
      <c r="X53" s="5"/>
      <c r="Y53" s="5"/>
      <c r="Z53" s="5"/>
    </row>
    <row r="54" spans="1:26" ht="13.2" x14ac:dyDescent="0.25">
      <c r="A54" s="70" t="s">
        <v>58</v>
      </c>
      <c r="B54" s="67">
        <v>4</v>
      </c>
      <c r="C54" s="68">
        <f>143.6/1000</f>
        <v>0.14360000000000001</v>
      </c>
      <c r="D54" s="68"/>
      <c r="E54" s="68"/>
      <c r="F54" s="68"/>
      <c r="G54" s="69" t="s">
        <v>8</v>
      </c>
      <c r="H54" s="10"/>
      <c r="I54" s="17"/>
      <c r="J54" s="17"/>
      <c r="K54" s="18"/>
      <c r="L54" s="2"/>
      <c r="M54" s="11"/>
      <c r="N54" s="11"/>
      <c r="O54" s="11"/>
      <c r="P54" s="11"/>
      <c r="Q54" s="1"/>
      <c r="R54" s="10"/>
      <c r="S54" s="10"/>
      <c r="T54" s="10"/>
      <c r="U54" s="10"/>
      <c r="V54" s="10"/>
      <c r="W54" s="5"/>
      <c r="X54" s="5"/>
      <c r="Y54" s="5"/>
      <c r="Z54" s="5"/>
    </row>
    <row r="55" spans="1:26" ht="13.2" x14ac:dyDescent="0.25">
      <c r="A55" s="65" t="s">
        <v>59</v>
      </c>
      <c r="B55" s="62">
        <v>0</v>
      </c>
      <c r="C55" s="63">
        <v>0</v>
      </c>
      <c r="D55" s="63"/>
      <c r="E55" s="63"/>
      <c r="F55" s="63"/>
      <c r="G55" s="64" t="s">
        <v>8</v>
      </c>
      <c r="H55" s="10"/>
      <c r="I55" s="17"/>
      <c r="J55" s="17"/>
      <c r="K55" s="18"/>
      <c r="L55" s="2"/>
      <c r="M55" s="11"/>
      <c r="N55" s="11"/>
      <c r="O55" s="11"/>
      <c r="P55" s="11"/>
      <c r="Q55" s="1"/>
      <c r="R55" s="10"/>
      <c r="S55" s="10"/>
      <c r="T55" s="10"/>
      <c r="U55" s="10"/>
      <c r="V55" s="10"/>
      <c r="W55" s="5"/>
      <c r="X55" s="5"/>
      <c r="Y55" s="5"/>
      <c r="Z55" s="5"/>
    </row>
    <row r="56" spans="1:26" ht="13.2" x14ac:dyDescent="0.25">
      <c r="A56" s="70" t="s">
        <v>60</v>
      </c>
      <c r="B56" s="67">
        <v>3</v>
      </c>
      <c r="C56" s="68">
        <f>249.7/1000</f>
        <v>0.24969999999999998</v>
      </c>
      <c r="D56" s="68"/>
      <c r="E56" s="68"/>
      <c r="F56" s="68"/>
      <c r="G56" s="69" t="s">
        <v>8</v>
      </c>
      <c r="H56" s="10"/>
      <c r="I56" s="17"/>
      <c r="J56" s="17"/>
      <c r="K56" s="18"/>
      <c r="L56" s="2"/>
      <c r="M56" s="11"/>
      <c r="N56" s="11"/>
      <c r="O56" s="11"/>
      <c r="P56" s="11"/>
      <c r="Q56" s="1"/>
      <c r="R56" s="10"/>
      <c r="S56" s="10"/>
      <c r="T56" s="10"/>
      <c r="U56" s="10"/>
      <c r="V56" s="10"/>
      <c r="W56" s="5"/>
      <c r="X56" s="5"/>
      <c r="Y56" s="5"/>
      <c r="Z56" s="5"/>
    </row>
    <row r="57" spans="1:26" ht="13.2" x14ac:dyDescent="0.25">
      <c r="A57" s="65" t="s">
        <v>61</v>
      </c>
      <c r="B57" s="62">
        <v>2</v>
      </c>
      <c r="C57" s="63">
        <f>43/1000</f>
        <v>4.2999999999999997E-2</v>
      </c>
      <c r="D57" s="63"/>
      <c r="E57" s="63"/>
      <c r="F57" s="63"/>
      <c r="G57" s="64" t="s">
        <v>8</v>
      </c>
      <c r="H57" s="10"/>
      <c r="I57" s="17"/>
      <c r="J57" s="17"/>
      <c r="K57" s="18"/>
      <c r="L57" s="2"/>
      <c r="M57" s="11"/>
      <c r="N57" s="11"/>
      <c r="O57" s="11"/>
      <c r="P57" s="11"/>
      <c r="Q57" s="1"/>
      <c r="R57" s="10"/>
      <c r="S57" s="10"/>
      <c r="T57" s="10"/>
      <c r="U57" s="10"/>
      <c r="V57" s="10"/>
      <c r="W57" s="5"/>
      <c r="X57" s="5"/>
      <c r="Y57" s="5"/>
      <c r="Z57" s="5"/>
    </row>
    <row r="58" spans="1:26" ht="13.2" x14ac:dyDescent="0.25">
      <c r="A58" s="70" t="s">
        <v>62</v>
      </c>
      <c r="B58" s="67">
        <v>0</v>
      </c>
      <c r="C58" s="68">
        <v>0</v>
      </c>
      <c r="D58" s="68"/>
      <c r="E58" s="68"/>
      <c r="F58" s="68"/>
      <c r="G58" s="69" t="s">
        <v>8</v>
      </c>
      <c r="H58" s="10"/>
      <c r="I58" s="17"/>
      <c r="J58" s="17"/>
      <c r="K58" s="18"/>
      <c r="L58" s="2"/>
      <c r="M58" s="11"/>
      <c r="N58" s="11"/>
      <c r="O58" s="11"/>
      <c r="P58" s="11"/>
      <c r="Q58" s="1"/>
      <c r="R58" s="10"/>
      <c r="S58" s="10"/>
      <c r="T58" s="10"/>
      <c r="U58" s="10"/>
      <c r="V58" s="10"/>
      <c r="W58" s="5"/>
      <c r="X58" s="5"/>
      <c r="Y58" s="5"/>
      <c r="Z58" s="5"/>
    </row>
    <row r="59" spans="1:26" ht="13.2" x14ac:dyDescent="0.25">
      <c r="A59" s="65" t="s">
        <v>63</v>
      </c>
      <c r="B59" s="62">
        <v>0</v>
      </c>
      <c r="C59" s="63">
        <v>0</v>
      </c>
      <c r="D59" s="63"/>
      <c r="E59" s="63"/>
      <c r="F59" s="63"/>
      <c r="G59" s="64" t="s">
        <v>8</v>
      </c>
      <c r="H59" s="10"/>
      <c r="I59" s="17"/>
      <c r="J59" s="17"/>
      <c r="K59" s="18"/>
      <c r="L59" s="2"/>
      <c r="M59" s="11"/>
      <c r="N59" s="11"/>
      <c r="O59" s="11"/>
      <c r="P59" s="11"/>
      <c r="Q59" s="1"/>
      <c r="R59" s="10"/>
      <c r="S59" s="10"/>
      <c r="T59" s="10"/>
      <c r="U59" s="10"/>
      <c r="V59" s="10"/>
      <c r="W59" s="5"/>
      <c r="X59" s="5"/>
      <c r="Y59" s="5"/>
      <c r="Z59" s="5"/>
    </row>
    <row r="60" spans="1:26" ht="13.2" x14ac:dyDescent="0.25">
      <c r="A60" s="70" t="s">
        <v>64</v>
      </c>
      <c r="B60" s="67">
        <v>6</v>
      </c>
      <c r="C60" s="68">
        <v>8</v>
      </c>
      <c r="D60" s="68"/>
      <c r="E60" s="68"/>
      <c r="F60" s="68"/>
      <c r="G60" s="69" t="s">
        <v>8</v>
      </c>
      <c r="H60" s="10"/>
      <c r="I60" s="17"/>
      <c r="J60" s="17"/>
      <c r="K60" s="18"/>
      <c r="L60" s="2"/>
      <c r="M60" s="11"/>
      <c r="N60" s="11"/>
      <c r="O60" s="11"/>
      <c r="P60" s="11"/>
      <c r="Q60" s="1"/>
      <c r="R60" s="10"/>
      <c r="S60" s="10"/>
      <c r="T60" s="10"/>
      <c r="U60" s="10"/>
      <c r="V60" s="10"/>
      <c r="W60" s="5"/>
      <c r="X60" s="5"/>
      <c r="Y60" s="5"/>
      <c r="Z60" s="5"/>
    </row>
    <row r="61" spans="1:26" ht="13.2" x14ac:dyDescent="0.25">
      <c r="A61" s="53">
        <v>1989</v>
      </c>
      <c r="B61" s="54"/>
      <c r="C61" s="55"/>
      <c r="D61" s="55"/>
      <c r="E61" s="55"/>
      <c r="F61" s="55"/>
      <c r="G61" s="22"/>
      <c r="H61" s="10"/>
      <c r="I61" s="17"/>
      <c r="J61" s="17"/>
      <c r="K61" s="18"/>
      <c r="L61" s="2"/>
      <c r="M61" s="11"/>
      <c r="N61" s="11"/>
      <c r="O61" s="11"/>
      <c r="P61" s="11"/>
      <c r="Q61" s="1"/>
      <c r="R61" s="10"/>
      <c r="S61" s="10"/>
      <c r="T61" s="10"/>
      <c r="U61" s="10"/>
      <c r="V61" s="10"/>
      <c r="W61" s="5"/>
      <c r="X61" s="5"/>
      <c r="Y61" s="5"/>
      <c r="Z61" s="5"/>
    </row>
    <row r="62" spans="1:26" ht="13.2" x14ac:dyDescent="0.25">
      <c r="A62" s="65" t="s">
        <v>65</v>
      </c>
      <c r="B62" s="62">
        <v>0</v>
      </c>
      <c r="C62" s="63">
        <v>0</v>
      </c>
      <c r="D62" s="63"/>
      <c r="E62" s="63"/>
      <c r="F62" s="63"/>
      <c r="G62" s="64" t="s">
        <v>8</v>
      </c>
      <c r="H62" s="10"/>
      <c r="I62" s="17"/>
      <c r="J62" s="17"/>
      <c r="K62" s="18"/>
      <c r="L62" s="2"/>
      <c r="M62" s="11"/>
      <c r="N62" s="11"/>
      <c r="O62" s="11"/>
      <c r="P62" s="11"/>
      <c r="Q62" s="1"/>
      <c r="R62" s="10"/>
      <c r="S62" s="10"/>
      <c r="T62" s="10"/>
      <c r="U62" s="10"/>
      <c r="V62" s="10"/>
      <c r="W62" s="5"/>
      <c r="X62" s="5"/>
      <c r="Y62" s="5"/>
      <c r="Z62" s="5"/>
    </row>
    <row r="63" spans="1:26" ht="13.2" x14ac:dyDescent="0.25">
      <c r="A63" s="70" t="s">
        <v>66</v>
      </c>
      <c r="B63" s="67">
        <v>1</v>
      </c>
      <c r="C63" s="68">
        <f>3.2/1000</f>
        <v>3.2000000000000002E-3</v>
      </c>
      <c r="D63" s="68"/>
      <c r="E63" s="68"/>
      <c r="F63" s="68"/>
      <c r="G63" s="69" t="s">
        <v>8</v>
      </c>
      <c r="H63" s="10"/>
      <c r="I63" s="17"/>
      <c r="J63" s="17"/>
      <c r="K63" s="18"/>
      <c r="L63" s="2"/>
      <c r="M63" s="11"/>
      <c r="N63" s="11"/>
      <c r="O63" s="11"/>
      <c r="P63" s="11"/>
      <c r="Q63" s="1"/>
      <c r="R63" s="10"/>
      <c r="S63" s="10"/>
      <c r="T63" s="10"/>
      <c r="U63" s="10"/>
      <c r="V63" s="10"/>
      <c r="W63" s="5"/>
      <c r="X63" s="5"/>
      <c r="Y63" s="5"/>
      <c r="Z63" s="5"/>
    </row>
    <row r="64" spans="1:26" ht="13.2" x14ac:dyDescent="0.25">
      <c r="A64" s="65" t="s">
        <v>67</v>
      </c>
      <c r="B64" s="62">
        <v>2</v>
      </c>
      <c r="C64" s="63">
        <f>5.17/1000</f>
        <v>5.1700000000000001E-3</v>
      </c>
      <c r="D64" s="63"/>
      <c r="E64" s="63"/>
      <c r="F64" s="63"/>
      <c r="G64" s="64" t="s">
        <v>8</v>
      </c>
      <c r="H64" s="10"/>
      <c r="I64" s="17"/>
      <c r="J64" s="17"/>
      <c r="K64" s="18"/>
      <c r="L64" s="2"/>
      <c r="M64" s="11"/>
      <c r="N64" s="11"/>
      <c r="O64" s="11"/>
      <c r="P64" s="11"/>
      <c r="Q64" s="1"/>
      <c r="R64" s="10"/>
      <c r="S64" s="10"/>
      <c r="T64" s="10"/>
      <c r="U64" s="10"/>
      <c r="V64" s="10"/>
      <c r="W64" s="5"/>
      <c r="X64" s="5"/>
      <c r="Y64" s="5"/>
      <c r="Z64" s="5"/>
    </row>
    <row r="65" spans="1:26" ht="13.2" x14ac:dyDescent="0.25">
      <c r="A65" s="70" t="s">
        <v>68</v>
      </c>
      <c r="B65" s="67">
        <v>1</v>
      </c>
      <c r="C65" s="68">
        <f>40/1000</f>
        <v>0.04</v>
      </c>
      <c r="D65" s="68"/>
      <c r="E65" s="68"/>
      <c r="F65" s="68"/>
      <c r="G65" s="69" t="s">
        <v>8</v>
      </c>
      <c r="H65" s="10"/>
      <c r="I65" s="17"/>
      <c r="J65" s="17"/>
      <c r="K65" s="18"/>
      <c r="L65" s="2"/>
      <c r="M65" s="11"/>
      <c r="N65" s="11"/>
      <c r="O65" s="11"/>
      <c r="P65" s="11"/>
      <c r="Q65" s="1"/>
      <c r="R65" s="10"/>
      <c r="S65" s="10"/>
      <c r="T65" s="10"/>
      <c r="U65" s="10"/>
      <c r="V65" s="10"/>
      <c r="W65" s="5"/>
      <c r="X65" s="5"/>
      <c r="Y65" s="5"/>
      <c r="Z65" s="5"/>
    </row>
    <row r="66" spans="1:26" ht="13.2" x14ac:dyDescent="0.25">
      <c r="A66" s="65" t="s">
        <v>69</v>
      </c>
      <c r="B66" s="62">
        <v>1</v>
      </c>
      <c r="C66" s="63">
        <f>173.7/1000</f>
        <v>0.17369999999999999</v>
      </c>
      <c r="D66" s="63"/>
      <c r="E66" s="63"/>
      <c r="F66" s="63"/>
      <c r="G66" s="64" t="s">
        <v>8</v>
      </c>
      <c r="H66" s="10"/>
      <c r="I66" s="17"/>
      <c r="J66" s="17"/>
      <c r="K66" s="18"/>
      <c r="L66" s="2"/>
      <c r="M66" s="11"/>
      <c r="N66" s="11"/>
      <c r="O66" s="11"/>
      <c r="P66" s="11"/>
      <c r="Q66" s="1"/>
      <c r="R66" s="10"/>
      <c r="S66" s="10"/>
      <c r="T66" s="10"/>
      <c r="U66" s="10"/>
      <c r="V66" s="10"/>
      <c r="W66" s="5"/>
      <c r="X66" s="5"/>
      <c r="Y66" s="5"/>
      <c r="Z66" s="5"/>
    </row>
    <row r="67" spans="1:26" ht="13.2" x14ac:dyDescent="0.25">
      <c r="A67" s="70" t="s">
        <v>70</v>
      </c>
      <c r="B67" s="67">
        <v>4</v>
      </c>
      <c r="C67" s="68">
        <f>54.7/1000</f>
        <v>5.4700000000000006E-2</v>
      </c>
      <c r="D67" s="68"/>
      <c r="E67" s="68"/>
      <c r="F67" s="68"/>
      <c r="G67" s="69" t="s">
        <v>8</v>
      </c>
      <c r="H67" s="10"/>
      <c r="I67" s="17"/>
      <c r="J67" s="17"/>
      <c r="K67" s="18"/>
      <c r="L67" s="2"/>
      <c r="M67" s="11"/>
      <c r="N67" s="11"/>
      <c r="O67" s="11"/>
      <c r="P67" s="11"/>
      <c r="Q67" s="1"/>
      <c r="R67" s="10"/>
      <c r="S67" s="10"/>
      <c r="T67" s="10"/>
      <c r="U67" s="10"/>
      <c r="V67" s="10"/>
      <c r="W67" s="5"/>
      <c r="X67" s="5"/>
      <c r="Y67" s="5"/>
      <c r="Z67" s="5"/>
    </row>
    <row r="68" spans="1:26" ht="13.2" x14ac:dyDescent="0.25">
      <c r="A68" s="65" t="s">
        <v>71</v>
      </c>
      <c r="B68" s="62">
        <v>0</v>
      </c>
      <c r="C68" s="63">
        <v>0</v>
      </c>
      <c r="D68" s="63"/>
      <c r="E68" s="63"/>
      <c r="F68" s="63"/>
      <c r="G68" s="64" t="s">
        <v>8</v>
      </c>
      <c r="H68" s="10"/>
      <c r="I68" s="17"/>
      <c r="J68" s="17"/>
      <c r="K68" s="18"/>
      <c r="L68" s="2"/>
      <c r="M68" s="11"/>
      <c r="N68" s="11"/>
      <c r="O68" s="11"/>
      <c r="P68" s="11"/>
      <c r="Q68" s="1"/>
      <c r="R68" s="10"/>
      <c r="S68" s="10"/>
      <c r="T68" s="10"/>
      <c r="U68" s="10"/>
      <c r="V68" s="10"/>
      <c r="W68" s="5"/>
      <c r="X68" s="5"/>
      <c r="Y68" s="5"/>
      <c r="Z68" s="5"/>
    </row>
    <row r="69" spans="1:26" ht="13.2" x14ac:dyDescent="0.25">
      <c r="A69" s="70" t="s">
        <v>72</v>
      </c>
      <c r="B69" s="67">
        <v>2</v>
      </c>
      <c r="C69" s="68">
        <f>328.1/1000</f>
        <v>0.3281</v>
      </c>
      <c r="D69" s="68"/>
      <c r="E69" s="68"/>
      <c r="F69" s="68"/>
      <c r="G69" s="69" t="s">
        <v>8</v>
      </c>
      <c r="H69" s="10"/>
      <c r="I69" s="17"/>
      <c r="J69" s="17"/>
      <c r="K69" s="18"/>
      <c r="L69" s="2"/>
      <c r="M69" s="11"/>
      <c r="N69" s="11"/>
      <c r="O69" s="11"/>
      <c r="P69" s="11"/>
      <c r="Q69" s="1"/>
      <c r="R69" s="10"/>
      <c r="S69" s="10"/>
      <c r="T69" s="10"/>
      <c r="U69" s="10"/>
      <c r="V69" s="10"/>
      <c r="W69" s="5"/>
      <c r="X69" s="5"/>
      <c r="Y69" s="5"/>
      <c r="Z69" s="5"/>
    </row>
    <row r="70" spans="1:26" ht="13.2" x14ac:dyDescent="0.25">
      <c r="A70" s="65" t="s">
        <v>73</v>
      </c>
      <c r="B70" s="62">
        <v>1</v>
      </c>
      <c r="C70" s="63">
        <f>962/1000</f>
        <v>0.96199999999999997</v>
      </c>
      <c r="D70" s="63"/>
      <c r="E70" s="63"/>
      <c r="F70" s="63"/>
      <c r="G70" s="64" t="s">
        <v>8</v>
      </c>
      <c r="H70" s="10"/>
      <c r="I70" s="17"/>
      <c r="J70" s="17"/>
      <c r="K70" s="18"/>
      <c r="L70" s="2"/>
      <c r="M70" s="11"/>
      <c r="N70" s="11"/>
      <c r="O70" s="11"/>
      <c r="P70" s="11"/>
      <c r="Q70" s="1"/>
      <c r="R70" s="10"/>
      <c r="S70" s="10"/>
      <c r="T70" s="10"/>
      <c r="U70" s="10"/>
      <c r="V70" s="10"/>
      <c r="W70" s="5"/>
      <c r="X70" s="5"/>
      <c r="Y70" s="5"/>
      <c r="Z70" s="5"/>
    </row>
    <row r="71" spans="1:26" ht="13.2" x14ac:dyDescent="0.25">
      <c r="A71" s="70" t="s">
        <v>74</v>
      </c>
      <c r="B71" s="67">
        <v>4</v>
      </c>
      <c r="C71" s="68">
        <f>27/1000</f>
        <v>2.7E-2</v>
      </c>
      <c r="D71" s="68"/>
      <c r="E71" s="68"/>
      <c r="F71" s="68"/>
      <c r="G71" s="69" t="s">
        <v>8</v>
      </c>
      <c r="H71" s="10"/>
      <c r="I71" s="17"/>
      <c r="J71" s="17"/>
      <c r="K71" s="18"/>
      <c r="L71" s="2"/>
      <c r="M71" s="11"/>
      <c r="N71" s="11"/>
      <c r="O71" s="11"/>
      <c r="P71" s="11"/>
      <c r="Q71" s="1"/>
      <c r="R71" s="10"/>
      <c r="S71" s="10"/>
      <c r="T71" s="10"/>
      <c r="U71" s="10"/>
      <c r="V71" s="10"/>
      <c r="W71" s="5"/>
      <c r="X71" s="5"/>
      <c r="Y71" s="5"/>
      <c r="Z71" s="5"/>
    </row>
    <row r="72" spans="1:26" ht="13.2" x14ac:dyDescent="0.25">
      <c r="A72" s="65" t="s">
        <v>75</v>
      </c>
      <c r="B72" s="62">
        <v>1</v>
      </c>
      <c r="C72" s="63">
        <v>0</v>
      </c>
      <c r="D72" s="63"/>
      <c r="E72" s="63"/>
      <c r="F72" s="63"/>
      <c r="G72" s="64" t="s">
        <v>8</v>
      </c>
      <c r="H72" s="10"/>
      <c r="I72" s="17"/>
      <c r="J72" s="17"/>
      <c r="K72" s="18"/>
      <c r="L72" s="2"/>
      <c r="M72" s="11"/>
      <c r="N72" s="11"/>
      <c r="O72" s="11"/>
      <c r="P72" s="11"/>
      <c r="Q72" s="1"/>
      <c r="R72" s="10"/>
      <c r="S72" s="10"/>
      <c r="T72" s="10"/>
      <c r="U72" s="10"/>
      <c r="V72" s="10"/>
      <c r="W72" s="5"/>
      <c r="X72" s="5"/>
      <c r="Y72" s="5"/>
      <c r="Z72" s="5"/>
    </row>
    <row r="73" spans="1:26" ht="13.2" x14ac:dyDescent="0.25">
      <c r="A73" s="70" t="s">
        <v>76</v>
      </c>
      <c r="B73" s="67">
        <v>6</v>
      </c>
      <c r="C73" s="68">
        <v>0</v>
      </c>
      <c r="D73" s="68"/>
      <c r="E73" s="68"/>
      <c r="F73" s="68"/>
      <c r="G73" s="69" t="s">
        <v>8</v>
      </c>
      <c r="H73" s="10"/>
      <c r="I73" s="17"/>
      <c r="J73" s="17"/>
      <c r="K73" s="18"/>
      <c r="L73" s="2"/>
      <c r="M73" s="11"/>
      <c r="N73" s="11"/>
      <c r="O73" s="11"/>
      <c r="P73" s="11"/>
      <c r="Q73" s="1"/>
      <c r="R73" s="10"/>
      <c r="S73" s="10"/>
      <c r="T73" s="10"/>
      <c r="U73" s="10"/>
      <c r="V73" s="10"/>
      <c r="W73" s="5"/>
      <c r="X73" s="5"/>
      <c r="Y73" s="5"/>
      <c r="Z73" s="5"/>
    </row>
    <row r="74" spans="1:26" ht="13.2" x14ac:dyDescent="0.25">
      <c r="A74" s="53">
        <v>1990</v>
      </c>
      <c r="B74" s="54"/>
      <c r="C74" s="55"/>
      <c r="D74" s="55"/>
      <c r="E74" s="55"/>
      <c r="F74" s="55"/>
      <c r="G74" s="22"/>
      <c r="H74" s="10"/>
      <c r="I74" s="17"/>
      <c r="J74" s="17"/>
      <c r="K74" s="18"/>
      <c r="L74" s="2"/>
      <c r="M74" s="11"/>
      <c r="N74" s="11"/>
      <c r="O74" s="11"/>
      <c r="P74" s="11"/>
      <c r="Q74" s="1"/>
      <c r="R74" s="10"/>
      <c r="S74" s="10"/>
      <c r="T74" s="10"/>
      <c r="U74" s="10"/>
      <c r="V74" s="10"/>
      <c r="W74" s="5"/>
      <c r="X74" s="5"/>
      <c r="Y74" s="5"/>
      <c r="Z74" s="5"/>
    </row>
    <row r="75" spans="1:26" ht="13.2" x14ac:dyDescent="0.25">
      <c r="A75" s="65" t="s">
        <v>77</v>
      </c>
      <c r="B75" s="62">
        <v>3</v>
      </c>
      <c r="C75" s="63">
        <f>361.6/1000</f>
        <v>0.36160000000000003</v>
      </c>
      <c r="D75" s="63"/>
      <c r="E75" s="63"/>
      <c r="F75" s="63"/>
      <c r="G75" s="64" t="s">
        <v>8</v>
      </c>
      <c r="H75" s="10"/>
      <c r="I75" s="17"/>
      <c r="J75" s="17"/>
      <c r="K75" s="18"/>
      <c r="L75" s="2"/>
      <c r="M75" s="11"/>
      <c r="N75" s="11"/>
      <c r="O75" s="11"/>
      <c r="P75" s="11"/>
      <c r="Q75" s="1"/>
      <c r="R75" s="10"/>
      <c r="S75" s="10"/>
      <c r="T75" s="10"/>
      <c r="U75" s="10"/>
      <c r="V75" s="10"/>
      <c r="W75" s="5"/>
      <c r="X75" s="5"/>
      <c r="Y75" s="5"/>
      <c r="Z75" s="5"/>
    </row>
    <row r="76" spans="1:26" ht="13.2" x14ac:dyDescent="0.25">
      <c r="A76" s="70" t="s">
        <v>78</v>
      </c>
      <c r="B76" s="67">
        <v>1</v>
      </c>
      <c r="C76" s="68">
        <f>504/1000</f>
        <v>0.504</v>
      </c>
      <c r="D76" s="68"/>
      <c r="E76" s="68"/>
      <c r="F76" s="68"/>
      <c r="G76" s="69" t="s">
        <v>8</v>
      </c>
      <c r="H76" s="10"/>
      <c r="I76" s="17"/>
      <c r="J76" s="17"/>
      <c r="K76" s="18"/>
      <c r="L76" s="2"/>
      <c r="M76" s="11"/>
      <c r="N76" s="11"/>
      <c r="O76" s="11"/>
      <c r="P76" s="11"/>
      <c r="Q76" s="1"/>
      <c r="R76" s="10"/>
      <c r="S76" s="10"/>
      <c r="T76" s="10"/>
      <c r="U76" s="10"/>
      <c r="V76" s="10"/>
      <c r="W76" s="5"/>
      <c r="X76" s="5"/>
      <c r="Y76" s="5"/>
      <c r="Z76" s="5"/>
    </row>
    <row r="77" spans="1:26" ht="13.2" x14ac:dyDescent="0.25">
      <c r="A77" s="65" t="s">
        <v>79</v>
      </c>
      <c r="B77" s="62">
        <v>4</v>
      </c>
      <c r="C77" s="63">
        <f>294.7/1000</f>
        <v>0.29469999999999996</v>
      </c>
      <c r="D77" s="63"/>
      <c r="E77" s="63"/>
      <c r="F77" s="63"/>
      <c r="G77" s="64" t="s">
        <v>8</v>
      </c>
      <c r="H77" s="10"/>
      <c r="I77" s="17"/>
      <c r="J77" s="17"/>
      <c r="K77" s="18"/>
      <c r="L77" s="2"/>
      <c r="M77" s="11"/>
      <c r="N77" s="11"/>
      <c r="O77" s="11"/>
      <c r="P77" s="11"/>
      <c r="Q77" s="1"/>
      <c r="R77" s="10"/>
      <c r="S77" s="10"/>
      <c r="T77" s="10"/>
      <c r="U77" s="10"/>
      <c r="V77" s="10"/>
      <c r="W77" s="5"/>
      <c r="X77" s="5"/>
      <c r="Y77" s="5"/>
      <c r="Z77" s="5"/>
    </row>
    <row r="78" spans="1:26" ht="13.2" x14ac:dyDescent="0.25">
      <c r="A78" s="70" t="s">
        <v>80</v>
      </c>
      <c r="B78" s="67">
        <v>3</v>
      </c>
      <c r="C78" s="68">
        <f>1862.8/1000</f>
        <v>1.8628</v>
      </c>
      <c r="D78" s="68"/>
      <c r="E78" s="68"/>
      <c r="F78" s="68"/>
      <c r="G78" s="69" t="s">
        <v>8</v>
      </c>
      <c r="H78" s="10"/>
      <c r="I78" s="17"/>
      <c r="J78" s="17"/>
      <c r="K78" s="18"/>
      <c r="L78" s="2"/>
      <c r="M78" s="11"/>
      <c r="N78" s="11"/>
      <c r="O78" s="11"/>
      <c r="P78" s="11"/>
      <c r="Q78" s="1"/>
      <c r="R78" s="10"/>
      <c r="S78" s="10"/>
      <c r="T78" s="10"/>
      <c r="U78" s="10"/>
      <c r="V78" s="10"/>
      <c r="W78" s="5"/>
      <c r="X78" s="5"/>
      <c r="Y78" s="5"/>
      <c r="Z78" s="5"/>
    </row>
    <row r="79" spans="1:26" ht="13.2" x14ac:dyDescent="0.25">
      <c r="A79" s="65" t="s">
        <v>81</v>
      </c>
      <c r="B79" s="62">
        <v>2</v>
      </c>
      <c r="C79" s="63">
        <f>50.4/1000</f>
        <v>5.04E-2</v>
      </c>
      <c r="D79" s="63"/>
      <c r="E79" s="63"/>
      <c r="F79" s="63"/>
      <c r="G79" s="64" t="s">
        <v>8</v>
      </c>
      <c r="H79" s="10"/>
      <c r="I79" s="17"/>
      <c r="J79" s="17"/>
      <c r="K79" s="18"/>
      <c r="L79" s="2"/>
      <c r="M79" s="11"/>
      <c r="N79" s="11"/>
      <c r="O79" s="11"/>
      <c r="P79" s="11"/>
      <c r="Q79" s="1"/>
      <c r="R79" s="10"/>
      <c r="S79" s="10"/>
      <c r="T79" s="10"/>
      <c r="U79" s="10"/>
      <c r="V79" s="10"/>
      <c r="W79" s="5"/>
      <c r="X79" s="5"/>
      <c r="Y79" s="5"/>
      <c r="Z79" s="5"/>
    </row>
    <row r="80" spans="1:26" ht="13.2" x14ac:dyDescent="0.25">
      <c r="A80" s="70" t="s">
        <v>82</v>
      </c>
      <c r="B80" s="67">
        <v>3</v>
      </c>
      <c r="C80" s="68">
        <f>1112.8/1000</f>
        <v>1.1128</v>
      </c>
      <c r="D80" s="68"/>
      <c r="E80" s="68"/>
      <c r="F80" s="68"/>
      <c r="G80" s="69" t="s">
        <v>8</v>
      </c>
      <c r="H80" s="10"/>
      <c r="I80" s="17"/>
      <c r="J80" s="17"/>
      <c r="K80" s="18"/>
      <c r="L80" s="2"/>
      <c r="M80" s="11"/>
      <c r="N80" s="11"/>
      <c r="O80" s="11"/>
      <c r="P80" s="11"/>
      <c r="Q80" s="1"/>
      <c r="R80" s="10"/>
      <c r="S80" s="10"/>
      <c r="T80" s="10"/>
      <c r="U80" s="10"/>
      <c r="V80" s="10"/>
      <c r="W80" s="5"/>
      <c r="X80" s="5"/>
      <c r="Y80" s="5"/>
      <c r="Z80" s="5"/>
    </row>
    <row r="81" spans="1:26" ht="13.2" x14ac:dyDescent="0.25">
      <c r="A81" s="65" t="s">
        <v>83</v>
      </c>
      <c r="B81" s="62">
        <v>1</v>
      </c>
      <c r="C81" s="63">
        <v>0</v>
      </c>
      <c r="D81" s="63"/>
      <c r="E81" s="63"/>
      <c r="F81" s="63"/>
      <c r="G81" s="64" t="s">
        <v>8</v>
      </c>
      <c r="H81" s="10"/>
      <c r="I81" s="17"/>
      <c r="J81" s="17"/>
      <c r="K81" s="18"/>
      <c r="L81" s="2"/>
      <c r="M81" s="11"/>
      <c r="N81" s="11"/>
      <c r="O81" s="11"/>
      <c r="P81" s="11"/>
      <c r="Q81" s="1"/>
      <c r="R81" s="10"/>
      <c r="S81" s="10"/>
      <c r="T81" s="10"/>
      <c r="U81" s="10"/>
      <c r="V81" s="10"/>
      <c r="W81" s="5"/>
      <c r="X81" s="5"/>
      <c r="Y81" s="5"/>
      <c r="Z81" s="5"/>
    </row>
    <row r="82" spans="1:26" ht="13.2" x14ac:dyDescent="0.25">
      <c r="A82" s="70" t="s">
        <v>84</v>
      </c>
      <c r="B82" s="67">
        <v>0</v>
      </c>
      <c r="C82" s="68">
        <v>0</v>
      </c>
      <c r="D82" s="68"/>
      <c r="E82" s="68"/>
      <c r="F82" s="68"/>
      <c r="G82" s="69" t="s">
        <v>8</v>
      </c>
      <c r="H82" s="10"/>
      <c r="I82" s="17"/>
      <c r="J82" s="17"/>
      <c r="K82" s="18"/>
      <c r="L82" s="2"/>
      <c r="M82" s="11"/>
      <c r="N82" s="11"/>
      <c r="O82" s="11"/>
      <c r="P82" s="11"/>
      <c r="Q82" s="1"/>
      <c r="R82" s="10"/>
      <c r="S82" s="10"/>
      <c r="T82" s="10"/>
      <c r="U82" s="10"/>
      <c r="V82" s="10"/>
      <c r="W82" s="5"/>
      <c r="X82" s="5"/>
      <c r="Y82" s="5"/>
      <c r="Z82" s="5"/>
    </row>
    <row r="83" spans="1:26" ht="13.2" x14ac:dyDescent="0.25">
      <c r="A83" s="65" t="s">
        <v>85</v>
      </c>
      <c r="B83" s="62">
        <v>1</v>
      </c>
      <c r="C83" s="63">
        <v>0</v>
      </c>
      <c r="D83" s="63"/>
      <c r="E83" s="63"/>
      <c r="F83" s="63"/>
      <c r="G83" s="64" t="s">
        <v>8</v>
      </c>
      <c r="H83" s="10"/>
      <c r="I83" s="17"/>
      <c r="J83" s="17"/>
      <c r="K83" s="18"/>
      <c r="L83" s="2"/>
      <c r="M83" s="11"/>
      <c r="N83" s="11"/>
      <c r="O83" s="11"/>
      <c r="P83" s="11"/>
      <c r="Q83" s="1"/>
      <c r="R83" s="10"/>
      <c r="S83" s="10"/>
      <c r="T83" s="10"/>
      <c r="U83" s="10"/>
      <c r="V83" s="10"/>
      <c r="W83" s="5"/>
      <c r="X83" s="5"/>
      <c r="Y83" s="5"/>
      <c r="Z83" s="5"/>
    </row>
    <row r="84" spans="1:26" ht="13.2" x14ac:dyDescent="0.25">
      <c r="A84" s="70" t="s">
        <v>86</v>
      </c>
      <c r="B84" s="67">
        <v>2</v>
      </c>
      <c r="C84" s="68">
        <v>0</v>
      </c>
      <c r="D84" s="68"/>
      <c r="E84" s="68"/>
      <c r="F84" s="68"/>
      <c r="G84" s="69" t="s">
        <v>8</v>
      </c>
      <c r="H84" s="10"/>
      <c r="I84" s="17"/>
      <c r="J84" s="17"/>
      <c r="K84" s="18"/>
      <c r="L84" s="2"/>
      <c r="M84" s="11"/>
      <c r="N84" s="11"/>
      <c r="O84" s="11"/>
      <c r="P84" s="11"/>
      <c r="Q84" s="1"/>
      <c r="R84" s="10"/>
      <c r="S84" s="10"/>
      <c r="T84" s="10"/>
      <c r="U84" s="10"/>
      <c r="V84" s="10"/>
      <c r="W84" s="5"/>
      <c r="X84" s="5"/>
      <c r="Y84" s="5"/>
      <c r="Z84" s="5"/>
    </row>
    <row r="85" spans="1:26" ht="13.2" x14ac:dyDescent="0.25">
      <c r="A85" s="65" t="s">
        <v>87</v>
      </c>
      <c r="B85" s="62">
        <v>0</v>
      </c>
      <c r="C85" s="63">
        <v>0</v>
      </c>
      <c r="D85" s="63"/>
      <c r="E85" s="63"/>
      <c r="F85" s="63"/>
      <c r="G85" s="64" t="s">
        <v>8</v>
      </c>
      <c r="H85" s="10"/>
      <c r="I85" s="17"/>
      <c r="J85" s="17"/>
      <c r="K85" s="18"/>
      <c r="L85" s="2"/>
      <c r="M85" s="11"/>
      <c r="N85" s="11"/>
      <c r="O85" s="11"/>
      <c r="P85" s="11"/>
      <c r="Q85" s="1"/>
      <c r="R85" s="10"/>
      <c r="S85" s="10"/>
      <c r="T85" s="10"/>
      <c r="U85" s="10"/>
      <c r="V85" s="10"/>
      <c r="W85" s="5"/>
      <c r="X85" s="5"/>
      <c r="Y85" s="5"/>
      <c r="Z85" s="5"/>
    </row>
    <row r="86" spans="1:26" ht="13.2" x14ac:dyDescent="0.25">
      <c r="A86" s="70" t="s">
        <v>88</v>
      </c>
      <c r="B86" s="67">
        <v>4</v>
      </c>
      <c r="C86" s="68">
        <v>0</v>
      </c>
      <c r="D86" s="68"/>
      <c r="E86" s="68"/>
      <c r="F86" s="68"/>
      <c r="G86" s="69" t="s">
        <v>8</v>
      </c>
      <c r="H86" s="10"/>
      <c r="I86" s="17"/>
      <c r="J86" s="17"/>
      <c r="K86" s="18"/>
      <c r="L86" s="2"/>
      <c r="M86" s="11"/>
      <c r="N86" s="11"/>
      <c r="O86" s="11"/>
      <c r="P86" s="11"/>
      <c r="Q86" s="1"/>
      <c r="R86" s="10"/>
      <c r="S86" s="10"/>
      <c r="T86" s="10"/>
      <c r="U86" s="10"/>
      <c r="V86" s="10"/>
      <c r="W86" s="5"/>
      <c r="X86" s="5"/>
      <c r="Y86" s="5"/>
      <c r="Z86" s="5"/>
    </row>
    <row r="87" spans="1:26" ht="13.2" x14ac:dyDescent="0.25">
      <c r="A87" s="53">
        <v>1991</v>
      </c>
      <c r="B87" s="54"/>
      <c r="C87" s="55"/>
      <c r="D87" s="55"/>
      <c r="E87" s="55"/>
      <c r="F87" s="55"/>
      <c r="G87" s="22"/>
      <c r="H87" s="10"/>
      <c r="I87" s="17"/>
      <c r="J87" s="17"/>
      <c r="K87" s="18"/>
      <c r="L87" s="2"/>
      <c r="M87" s="11"/>
      <c r="N87" s="11"/>
      <c r="O87" s="11"/>
      <c r="P87" s="11"/>
      <c r="Q87" s="1"/>
      <c r="R87" s="10"/>
      <c r="S87" s="10"/>
      <c r="T87" s="10"/>
      <c r="U87" s="10"/>
      <c r="V87" s="10"/>
      <c r="W87" s="5"/>
      <c r="X87" s="5"/>
      <c r="Y87" s="5"/>
      <c r="Z87" s="5"/>
    </row>
    <row r="88" spans="1:26" ht="13.2" x14ac:dyDescent="0.25">
      <c r="A88" s="65" t="s">
        <v>89</v>
      </c>
      <c r="B88" s="62">
        <v>4</v>
      </c>
      <c r="C88" s="63">
        <f>764.3/1000</f>
        <v>0.76429999999999998</v>
      </c>
      <c r="D88" s="63"/>
      <c r="E88" s="63"/>
      <c r="F88" s="63"/>
      <c r="G88" s="64" t="s">
        <v>8</v>
      </c>
      <c r="H88" s="10"/>
      <c r="I88" s="17"/>
      <c r="J88" s="17"/>
      <c r="K88" s="18"/>
      <c r="L88" s="2"/>
      <c r="M88" s="11"/>
      <c r="N88" s="11"/>
      <c r="O88" s="11"/>
      <c r="P88" s="11"/>
      <c r="Q88" s="1"/>
      <c r="R88" s="10"/>
      <c r="S88" s="10"/>
      <c r="T88" s="10"/>
      <c r="U88" s="10"/>
      <c r="V88" s="10"/>
      <c r="W88" s="5"/>
      <c r="X88" s="5"/>
      <c r="Y88" s="5"/>
      <c r="Z88" s="5"/>
    </row>
    <row r="89" spans="1:26" ht="13.2" x14ac:dyDescent="0.25">
      <c r="A89" s="70" t="s">
        <v>90</v>
      </c>
      <c r="B89" s="67">
        <v>0</v>
      </c>
      <c r="C89" s="68">
        <v>0</v>
      </c>
      <c r="D89" s="68"/>
      <c r="E89" s="68"/>
      <c r="F89" s="68"/>
      <c r="G89" s="69" t="s">
        <v>8</v>
      </c>
      <c r="H89" s="10"/>
      <c r="I89" s="17"/>
      <c r="J89" s="17"/>
      <c r="K89" s="18"/>
      <c r="L89" s="2"/>
      <c r="M89" s="11"/>
      <c r="N89" s="11"/>
      <c r="O89" s="11"/>
      <c r="P89" s="11"/>
      <c r="Q89" s="1"/>
      <c r="R89" s="10"/>
      <c r="S89" s="10"/>
      <c r="T89" s="10"/>
      <c r="U89" s="10"/>
      <c r="V89" s="10"/>
      <c r="W89" s="5"/>
      <c r="X89" s="5"/>
      <c r="Y89" s="5"/>
      <c r="Z89" s="5"/>
    </row>
    <row r="90" spans="1:26" ht="13.2" x14ac:dyDescent="0.25">
      <c r="A90" s="65" t="s">
        <v>91</v>
      </c>
      <c r="B90" s="62">
        <v>1</v>
      </c>
      <c r="C90" s="63">
        <v>0</v>
      </c>
      <c r="D90" s="63"/>
      <c r="E90" s="63"/>
      <c r="F90" s="63"/>
      <c r="G90" s="64" t="s">
        <v>8</v>
      </c>
      <c r="H90" s="10"/>
      <c r="I90" s="17"/>
      <c r="J90" s="17"/>
      <c r="K90" s="18"/>
      <c r="L90" s="2"/>
      <c r="M90" s="11"/>
      <c r="N90" s="11"/>
      <c r="O90" s="11"/>
      <c r="P90" s="11"/>
      <c r="Q90" s="1"/>
      <c r="R90" s="10"/>
      <c r="S90" s="10"/>
      <c r="T90" s="10"/>
      <c r="U90" s="10"/>
      <c r="V90" s="10"/>
      <c r="W90" s="5"/>
      <c r="X90" s="5"/>
      <c r="Y90" s="5"/>
      <c r="Z90" s="5"/>
    </row>
    <row r="91" spans="1:26" ht="13.2" x14ac:dyDescent="0.25">
      <c r="A91" s="70" t="s">
        <v>92</v>
      </c>
      <c r="B91" s="67">
        <v>1</v>
      </c>
      <c r="C91" s="68">
        <v>0</v>
      </c>
      <c r="D91" s="68"/>
      <c r="E91" s="68"/>
      <c r="F91" s="68"/>
      <c r="G91" s="69" t="s">
        <v>8</v>
      </c>
      <c r="H91" s="10"/>
      <c r="I91" s="17"/>
      <c r="J91" s="17"/>
      <c r="K91" s="18"/>
      <c r="L91" s="2"/>
      <c r="M91" s="11"/>
      <c r="N91" s="11"/>
      <c r="O91" s="11"/>
      <c r="P91" s="11"/>
      <c r="Q91" s="1"/>
      <c r="R91" s="10"/>
      <c r="S91" s="10"/>
      <c r="T91" s="10"/>
      <c r="U91" s="10"/>
      <c r="V91" s="10"/>
      <c r="W91" s="5"/>
      <c r="X91" s="5"/>
      <c r="Y91" s="5"/>
      <c r="Z91" s="5"/>
    </row>
    <row r="92" spans="1:26" ht="13.2" x14ac:dyDescent="0.25">
      <c r="A92" s="65" t="s">
        <v>93</v>
      </c>
      <c r="B92" s="62">
        <v>1</v>
      </c>
      <c r="C92" s="63">
        <v>0</v>
      </c>
      <c r="D92" s="63"/>
      <c r="E92" s="63"/>
      <c r="F92" s="63"/>
      <c r="G92" s="64" t="s">
        <v>8</v>
      </c>
      <c r="H92" s="10"/>
      <c r="I92" s="17"/>
      <c r="J92" s="17"/>
      <c r="K92" s="18"/>
      <c r="L92" s="2"/>
      <c r="M92" s="11"/>
      <c r="N92" s="11"/>
      <c r="O92" s="11"/>
      <c r="P92" s="11"/>
      <c r="Q92" s="1"/>
      <c r="R92" s="10"/>
      <c r="S92" s="10"/>
      <c r="T92" s="10"/>
      <c r="U92" s="10"/>
      <c r="V92" s="10"/>
      <c r="W92" s="5"/>
      <c r="X92" s="5"/>
      <c r="Y92" s="5"/>
      <c r="Z92" s="5"/>
    </row>
    <row r="93" spans="1:26" ht="13.2" x14ac:dyDescent="0.25">
      <c r="A93" s="70" t="s">
        <v>94</v>
      </c>
      <c r="B93" s="67">
        <v>8</v>
      </c>
      <c r="C93" s="68">
        <f>207.5/1000</f>
        <v>0.20749999999999999</v>
      </c>
      <c r="D93" s="68"/>
      <c r="E93" s="68"/>
      <c r="F93" s="68"/>
      <c r="G93" s="69" t="s">
        <v>8</v>
      </c>
      <c r="H93" s="10"/>
      <c r="I93" s="17"/>
      <c r="J93" s="17"/>
      <c r="K93" s="18"/>
      <c r="L93" s="2"/>
      <c r="M93" s="11"/>
      <c r="N93" s="11"/>
      <c r="O93" s="11"/>
      <c r="P93" s="11"/>
      <c r="Q93" s="1"/>
      <c r="R93" s="10"/>
      <c r="S93" s="10"/>
      <c r="T93" s="10"/>
      <c r="U93" s="10"/>
      <c r="V93" s="10"/>
      <c r="W93" s="5"/>
      <c r="X93" s="5"/>
      <c r="Y93" s="5"/>
      <c r="Z93" s="5"/>
    </row>
    <row r="94" spans="1:26" ht="13.2" x14ac:dyDescent="0.25">
      <c r="A94" s="65" t="s">
        <v>95</v>
      </c>
      <c r="B94" s="62">
        <v>3</v>
      </c>
      <c r="C94" s="63">
        <f>307.9/1000</f>
        <v>0.30789999999999995</v>
      </c>
      <c r="D94" s="63"/>
      <c r="E94" s="63"/>
      <c r="F94" s="63"/>
      <c r="G94" s="64" t="s">
        <v>8</v>
      </c>
      <c r="H94" s="10"/>
      <c r="I94" s="17"/>
      <c r="J94" s="17"/>
      <c r="K94" s="18"/>
      <c r="L94" s="2"/>
      <c r="M94" s="11"/>
      <c r="N94" s="11"/>
      <c r="O94" s="11"/>
      <c r="P94" s="11"/>
      <c r="Q94" s="1"/>
      <c r="R94" s="10"/>
      <c r="S94" s="10"/>
      <c r="T94" s="10"/>
      <c r="U94" s="10"/>
      <c r="V94" s="10"/>
      <c r="W94" s="5"/>
      <c r="X94" s="5"/>
      <c r="Y94" s="5"/>
      <c r="Z94" s="5"/>
    </row>
    <row r="95" spans="1:26" ht="13.2" x14ac:dyDescent="0.25">
      <c r="A95" s="70" t="s">
        <v>96</v>
      </c>
      <c r="B95" s="67">
        <v>3</v>
      </c>
      <c r="C95" s="68">
        <f>194.6/1000</f>
        <v>0.1946</v>
      </c>
      <c r="D95" s="68"/>
      <c r="E95" s="68"/>
      <c r="F95" s="68"/>
      <c r="G95" s="69" t="s">
        <v>8</v>
      </c>
      <c r="H95" s="10"/>
      <c r="I95" s="17"/>
      <c r="J95" s="17"/>
      <c r="K95" s="18"/>
      <c r="L95" s="2"/>
      <c r="M95" s="11"/>
      <c r="N95" s="11"/>
      <c r="O95" s="11"/>
      <c r="P95" s="11"/>
      <c r="Q95" s="1"/>
      <c r="R95" s="10"/>
      <c r="S95" s="10"/>
      <c r="T95" s="10"/>
      <c r="U95" s="10"/>
      <c r="V95" s="10"/>
      <c r="W95" s="5"/>
      <c r="X95" s="5"/>
      <c r="Y95" s="5"/>
      <c r="Z95" s="5"/>
    </row>
    <row r="96" spans="1:26" ht="13.2" x14ac:dyDescent="0.25">
      <c r="A96" s="65" t="s">
        <v>97</v>
      </c>
      <c r="B96" s="62">
        <v>2</v>
      </c>
      <c r="C96" s="63">
        <f>535.8/1000</f>
        <v>0.53579999999999994</v>
      </c>
      <c r="D96" s="63"/>
      <c r="E96" s="63"/>
      <c r="F96" s="63"/>
      <c r="G96" s="64" t="s">
        <v>8</v>
      </c>
      <c r="H96" s="10"/>
      <c r="I96" s="17"/>
      <c r="J96" s="17"/>
      <c r="K96" s="18"/>
      <c r="L96" s="2"/>
      <c r="M96" s="11"/>
      <c r="N96" s="11"/>
      <c r="O96" s="11"/>
      <c r="P96" s="11"/>
      <c r="Q96" s="1"/>
      <c r="R96" s="10"/>
      <c r="S96" s="10"/>
      <c r="T96" s="10"/>
      <c r="U96" s="10"/>
      <c r="V96" s="10"/>
      <c r="W96" s="5"/>
      <c r="X96" s="5"/>
      <c r="Y96" s="5"/>
      <c r="Z96" s="5"/>
    </row>
    <row r="97" spans="1:26" ht="13.2" x14ac:dyDescent="0.25">
      <c r="A97" s="70" t="s">
        <v>98</v>
      </c>
      <c r="B97" s="67">
        <v>2</v>
      </c>
      <c r="C97" s="68">
        <v>0</v>
      </c>
      <c r="D97" s="68"/>
      <c r="E97" s="68"/>
      <c r="F97" s="68"/>
      <c r="G97" s="69" t="s">
        <v>8</v>
      </c>
      <c r="H97" s="10"/>
      <c r="I97" s="17"/>
      <c r="J97" s="17"/>
      <c r="K97" s="18"/>
      <c r="L97" s="2"/>
      <c r="M97" s="11"/>
      <c r="N97" s="11"/>
      <c r="O97" s="11"/>
      <c r="P97" s="11"/>
      <c r="Q97" s="1"/>
      <c r="R97" s="10"/>
      <c r="S97" s="10"/>
      <c r="T97" s="10"/>
      <c r="U97" s="10"/>
      <c r="V97" s="10"/>
      <c r="W97" s="5"/>
      <c r="X97" s="5"/>
      <c r="Y97" s="5"/>
      <c r="Z97" s="5"/>
    </row>
    <row r="98" spans="1:26" ht="13.2" x14ac:dyDescent="0.25">
      <c r="A98" s="65" t="s">
        <v>99</v>
      </c>
      <c r="B98" s="62">
        <v>1</v>
      </c>
      <c r="C98" s="63">
        <v>0</v>
      </c>
      <c r="D98" s="63"/>
      <c r="E98" s="63"/>
      <c r="F98" s="63"/>
      <c r="G98" s="64" t="s">
        <v>8</v>
      </c>
      <c r="H98" s="10"/>
      <c r="I98" s="17"/>
      <c r="J98" s="17"/>
      <c r="K98" s="18"/>
      <c r="L98" s="2"/>
      <c r="M98" s="11"/>
      <c r="N98" s="11"/>
      <c r="O98" s="11"/>
      <c r="P98" s="11"/>
      <c r="Q98" s="1"/>
      <c r="R98" s="10"/>
      <c r="S98" s="10"/>
      <c r="T98" s="10"/>
      <c r="U98" s="10"/>
      <c r="V98" s="10"/>
      <c r="W98" s="5"/>
      <c r="X98" s="5"/>
      <c r="Y98" s="5"/>
      <c r="Z98" s="5"/>
    </row>
    <row r="99" spans="1:26" ht="13.2" x14ac:dyDescent="0.25">
      <c r="A99" s="70" t="s">
        <v>100</v>
      </c>
      <c r="B99" s="67">
        <v>3</v>
      </c>
      <c r="C99" s="68">
        <f>836.5/1000</f>
        <v>0.83650000000000002</v>
      </c>
      <c r="D99" s="68"/>
      <c r="E99" s="68"/>
      <c r="F99" s="68"/>
      <c r="G99" s="69" t="s">
        <v>8</v>
      </c>
      <c r="H99" s="10"/>
      <c r="I99" s="17"/>
      <c r="J99" s="17"/>
      <c r="K99" s="18"/>
      <c r="L99" s="2"/>
      <c r="M99" s="11"/>
      <c r="N99" s="11"/>
      <c r="O99" s="11"/>
      <c r="P99" s="11"/>
      <c r="Q99" s="1"/>
      <c r="R99" s="10"/>
      <c r="S99" s="10"/>
      <c r="T99" s="10"/>
      <c r="U99" s="10"/>
      <c r="V99" s="10"/>
      <c r="W99" s="5"/>
      <c r="X99" s="5"/>
      <c r="Y99" s="5"/>
      <c r="Z99" s="5"/>
    </row>
    <row r="100" spans="1:26" ht="13.2" x14ac:dyDescent="0.25">
      <c r="A100" s="53">
        <v>1992</v>
      </c>
      <c r="B100" s="54"/>
      <c r="C100" s="55"/>
      <c r="D100" s="55"/>
      <c r="E100" s="55"/>
      <c r="F100" s="55"/>
      <c r="G100" s="22"/>
      <c r="H100" s="10"/>
      <c r="I100" s="17"/>
      <c r="J100" s="17"/>
      <c r="K100" s="18"/>
      <c r="L100" s="2"/>
      <c r="M100" s="11"/>
      <c r="N100" s="11"/>
      <c r="O100" s="11"/>
      <c r="P100" s="11"/>
      <c r="Q100" s="1"/>
      <c r="R100" s="10"/>
      <c r="S100" s="10"/>
      <c r="T100" s="10"/>
      <c r="U100" s="10"/>
      <c r="V100" s="10"/>
      <c r="W100" s="5"/>
      <c r="X100" s="5"/>
      <c r="Y100" s="5"/>
      <c r="Z100" s="5"/>
    </row>
    <row r="101" spans="1:26" ht="13.2" x14ac:dyDescent="0.25">
      <c r="A101" s="65" t="s">
        <v>101</v>
      </c>
      <c r="B101" s="62">
        <v>0</v>
      </c>
      <c r="C101" s="63">
        <v>0</v>
      </c>
      <c r="D101" s="63"/>
      <c r="E101" s="63"/>
      <c r="F101" s="63"/>
      <c r="G101" s="64" t="s">
        <v>8</v>
      </c>
      <c r="H101" s="10"/>
      <c r="I101" s="17"/>
      <c r="J101" s="17"/>
      <c r="K101" s="18"/>
      <c r="L101" s="2"/>
      <c r="M101" s="11"/>
      <c r="N101" s="11"/>
      <c r="O101" s="11"/>
      <c r="P101" s="11"/>
      <c r="Q101" s="1"/>
      <c r="R101" s="10"/>
      <c r="S101" s="10"/>
      <c r="T101" s="10"/>
      <c r="U101" s="10"/>
      <c r="V101" s="10"/>
      <c r="W101" s="5"/>
      <c r="X101" s="5"/>
      <c r="Y101" s="5"/>
      <c r="Z101" s="5"/>
    </row>
    <row r="102" spans="1:26" ht="13.2" x14ac:dyDescent="0.25">
      <c r="A102" s="70" t="s">
        <v>102</v>
      </c>
      <c r="B102" s="67">
        <v>3</v>
      </c>
      <c r="C102" s="68">
        <f>140/1000</f>
        <v>0.14000000000000001</v>
      </c>
      <c r="D102" s="68"/>
      <c r="E102" s="68"/>
      <c r="F102" s="68"/>
      <c r="G102" s="69" t="s">
        <v>8</v>
      </c>
      <c r="H102" s="10"/>
      <c r="I102" s="17"/>
      <c r="J102" s="17"/>
      <c r="K102" s="18"/>
      <c r="L102" s="2"/>
      <c r="M102" s="11"/>
      <c r="N102" s="11"/>
      <c r="O102" s="11"/>
      <c r="P102" s="11"/>
      <c r="Q102" s="1"/>
      <c r="R102" s="10"/>
      <c r="S102" s="10"/>
      <c r="T102" s="10"/>
      <c r="U102" s="10"/>
      <c r="V102" s="10"/>
      <c r="W102" s="5"/>
      <c r="X102" s="5"/>
      <c r="Y102" s="5"/>
      <c r="Z102" s="5"/>
    </row>
    <row r="103" spans="1:26" ht="13.2" x14ac:dyDescent="0.25">
      <c r="A103" s="65" t="s">
        <v>103</v>
      </c>
      <c r="B103" s="62">
        <v>3</v>
      </c>
      <c r="C103" s="63">
        <f>39.3/1000</f>
        <v>3.9299999999999995E-2</v>
      </c>
      <c r="D103" s="63"/>
      <c r="E103" s="63"/>
      <c r="F103" s="63"/>
      <c r="G103" s="64" t="s">
        <v>8</v>
      </c>
      <c r="H103" s="10"/>
      <c r="I103" s="17"/>
      <c r="J103" s="17"/>
      <c r="K103" s="18"/>
      <c r="L103" s="2"/>
      <c r="M103" s="11"/>
      <c r="N103" s="11"/>
      <c r="O103" s="11"/>
      <c r="P103" s="11"/>
      <c r="Q103" s="1"/>
      <c r="R103" s="10"/>
      <c r="S103" s="10"/>
      <c r="T103" s="10"/>
      <c r="U103" s="10"/>
      <c r="V103" s="10"/>
      <c r="W103" s="5"/>
      <c r="X103" s="5"/>
      <c r="Y103" s="5"/>
      <c r="Z103" s="5"/>
    </row>
    <row r="104" spans="1:26" ht="13.2" x14ac:dyDescent="0.25">
      <c r="A104" s="70" t="s">
        <v>104</v>
      </c>
      <c r="B104" s="67">
        <v>3</v>
      </c>
      <c r="C104" s="68">
        <f>899.6/1000</f>
        <v>0.89960000000000007</v>
      </c>
      <c r="D104" s="68"/>
      <c r="E104" s="68"/>
      <c r="F104" s="68"/>
      <c r="G104" s="69" t="s">
        <v>8</v>
      </c>
      <c r="H104" s="10"/>
      <c r="I104" s="17"/>
      <c r="J104" s="17"/>
      <c r="K104" s="18"/>
      <c r="L104" s="2"/>
      <c r="M104" s="11"/>
      <c r="N104" s="11"/>
      <c r="O104" s="11"/>
      <c r="P104" s="11"/>
      <c r="Q104" s="1"/>
      <c r="R104" s="10"/>
      <c r="S104" s="10"/>
      <c r="T104" s="10"/>
      <c r="U104" s="10"/>
      <c r="V104" s="10"/>
      <c r="W104" s="5"/>
      <c r="X104" s="5"/>
      <c r="Y104" s="5"/>
      <c r="Z104" s="5"/>
    </row>
    <row r="105" spans="1:26" ht="13.2" x14ac:dyDescent="0.25">
      <c r="A105" s="65" t="s">
        <v>105</v>
      </c>
      <c r="B105" s="62">
        <v>0</v>
      </c>
      <c r="C105" s="63">
        <v>0</v>
      </c>
      <c r="D105" s="63"/>
      <c r="E105" s="63"/>
      <c r="F105" s="63"/>
      <c r="G105" s="64" t="s">
        <v>8</v>
      </c>
      <c r="H105" s="10"/>
      <c r="I105" s="17"/>
      <c r="J105" s="17"/>
      <c r="K105" s="18"/>
      <c r="L105" s="2"/>
      <c r="M105" s="11"/>
      <c r="N105" s="11"/>
      <c r="O105" s="11"/>
      <c r="P105" s="11"/>
      <c r="Q105" s="1"/>
      <c r="R105" s="10"/>
      <c r="S105" s="10"/>
      <c r="T105" s="10"/>
      <c r="U105" s="10"/>
      <c r="V105" s="10"/>
      <c r="W105" s="5"/>
      <c r="X105" s="5"/>
      <c r="Y105" s="5"/>
      <c r="Z105" s="5"/>
    </row>
    <row r="106" spans="1:26" ht="13.2" x14ac:dyDescent="0.25">
      <c r="A106" s="70" t="s">
        <v>106</v>
      </c>
      <c r="B106" s="67">
        <v>4</v>
      </c>
      <c r="C106" s="68">
        <f>96.7/1000</f>
        <v>9.6700000000000008E-2</v>
      </c>
      <c r="D106" s="68"/>
      <c r="E106" s="68"/>
      <c r="F106" s="68"/>
      <c r="G106" s="69" t="s">
        <v>8</v>
      </c>
      <c r="H106" s="10"/>
      <c r="I106" s="17"/>
      <c r="J106" s="17"/>
      <c r="K106" s="18"/>
      <c r="L106" s="2"/>
      <c r="M106" s="11"/>
      <c r="N106" s="11"/>
      <c r="O106" s="11"/>
      <c r="P106" s="11"/>
      <c r="Q106" s="1"/>
      <c r="R106" s="10"/>
      <c r="S106" s="10"/>
      <c r="T106" s="10"/>
      <c r="U106" s="10"/>
      <c r="V106" s="10"/>
      <c r="W106" s="5"/>
      <c r="X106" s="5"/>
      <c r="Y106" s="5"/>
      <c r="Z106" s="5"/>
    </row>
    <row r="107" spans="1:26" ht="13.2" x14ac:dyDescent="0.25">
      <c r="A107" s="65" t="s">
        <v>107</v>
      </c>
      <c r="B107" s="62">
        <v>6</v>
      </c>
      <c r="C107" s="63">
        <f>352.5/1000</f>
        <v>0.35249999999999998</v>
      </c>
      <c r="D107" s="63"/>
      <c r="E107" s="63"/>
      <c r="F107" s="63"/>
      <c r="G107" s="64" t="s">
        <v>8</v>
      </c>
      <c r="H107" s="10"/>
      <c r="I107" s="17"/>
      <c r="J107" s="17"/>
      <c r="K107" s="18"/>
      <c r="L107" s="2"/>
      <c r="M107" s="11"/>
      <c r="N107" s="11"/>
      <c r="O107" s="11"/>
      <c r="P107" s="11"/>
      <c r="Q107" s="1"/>
      <c r="R107" s="10"/>
      <c r="S107" s="10"/>
      <c r="T107" s="10"/>
      <c r="U107" s="10"/>
      <c r="V107" s="10"/>
      <c r="W107" s="5"/>
      <c r="X107" s="5"/>
      <c r="Y107" s="5"/>
      <c r="Z107" s="5"/>
    </row>
    <row r="108" spans="1:26" ht="13.2" x14ac:dyDescent="0.25">
      <c r="A108" s="70" t="s">
        <v>108</v>
      </c>
      <c r="B108" s="67">
        <v>0</v>
      </c>
      <c r="C108" s="68">
        <v>0</v>
      </c>
      <c r="D108" s="68"/>
      <c r="E108" s="68"/>
      <c r="F108" s="68"/>
      <c r="G108" s="69" t="s">
        <v>8</v>
      </c>
      <c r="H108" s="10"/>
      <c r="I108" s="17"/>
      <c r="J108" s="17"/>
      <c r="K108" s="18"/>
      <c r="L108" s="2"/>
      <c r="M108" s="11"/>
      <c r="N108" s="11"/>
      <c r="O108" s="11"/>
      <c r="P108" s="11"/>
      <c r="Q108" s="1"/>
      <c r="R108" s="10"/>
      <c r="S108" s="10"/>
      <c r="T108" s="10"/>
      <c r="U108" s="10"/>
      <c r="V108" s="10"/>
      <c r="W108" s="5"/>
      <c r="X108" s="5"/>
      <c r="Y108" s="5"/>
      <c r="Z108" s="5"/>
    </row>
    <row r="109" spans="1:26" ht="13.2" x14ac:dyDescent="0.25">
      <c r="A109" s="65" t="s">
        <v>109</v>
      </c>
      <c r="B109" s="62">
        <v>3</v>
      </c>
      <c r="C109" s="63">
        <f>529.7/1000</f>
        <v>0.52970000000000006</v>
      </c>
      <c r="D109" s="63"/>
      <c r="E109" s="63"/>
      <c r="F109" s="63"/>
      <c r="G109" s="64" t="s">
        <v>8</v>
      </c>
      <c r="H109" s="10"/>
      <c r="I109" s="17"/>
      <c r="J109" s="17"/>
      <c r="K109" s="18"/>
      <c r="L109" s="2"/>
      <c r="M109" s="11"/>
      <c r="N109" s="11"/>
      <c r="O109" s="11"/>
      <c r="P109" s="11"/>
      <c r="Q109" s="1"/>
      <c r="R109" s="10"/>
      <c r="S109" s="10"/>
      <c r="T109" s="10"/>
      <c r="U109" s="10"/>
      <c r="V109" s="10"/>
      <c r="W109" s="5"/>
      <c r="X109" s="5"/>
      <c r="Y109" s="5"/>
      <c r="Z109" s="5"/>
    </row>
    <row r="110" spans="1:26" ht="13.2" x14ac:dyDescent="0.25">
      <c r="A110" s="66">
        <v>33878</v>
      </c>
      <c r="B110" s="67">
        <v>3</v>
      </c>
      <c r="C110" s="68">
        <f>130.6/1000</f>
        <v>0.13059999999999999</v>
      </c>
      <c r="D110" s="68"/>
      <c r="E110" s="68"/>
      <c r="F110" s="68"/>
      <c r="G110" s="69" t="s">
        <v>8</v>
      </c>
      <c r="H110" s="10"/>
      <c r="I110" s="17"/>
      <c r="J110" s="17"/>
      <c r="K110" s="18"/>
      <c r="L110" s="2"/>
      <c r="M110" s="11"/>
      <c r="N110" s="11"/>
      <c r="O110" s="11"/>
      <c r="P110" s="11"/>
      <c r="Q110" s="1"/>
      <c r="R110" s="10"/>
      <c r="S110" s="10"/>
      <c r="T110" s="10"/>
      <c r="U110" s="10"/>
      <c r="V110" s="10"/>
      <c r="W110" s="5"/>
      <c r="X110" s="5"/>
      <c r="Y110" s="5"/>
      <c r="Z110" s="5"/>
    </row>
    <row r="111" spans="1:26" ht="13.2" x14ac:dyDescent="0.25">
      <c r="A111" s="65" t="s">
        <v>110</v>
      </c>
      <c r="B111" s="62">
        <v>1</v>
      </c>
      <c r="C111" s="63">
        <f>3824.9/1000</f>
        <v>3.8249</v>
      </c>
      <c r="D111" s="63"/>
      <c r="E111" s="63"/>
      <c r="F111" s="63"/>
      <c r="G111" s="64" t="s">
        <v>8</v>
      </c>
      <c r="H111" s="10"/>
      <c r="I111" s="17"/>
      <c r="J111" s="17"/>
      <c r="K111" s="18"/>
      <c r="L111" s="2"/>
      <c r="M111" s="11"/>
      <c r="N111" s="11"/>
      <c r="O111" s="11"/>
      <c r="P111" s="11"/>
      <c r="Q111" s="1"/>
      <c r="R111" s="10"/>
      <c r="S111" s="10"/>
      <c r="T111" s="10"/>
      <c r="U111" s="10"/>
      <c r="V111" s="10"/>
      <c r="W111" s="5"/>
      <c r="X111" s="5"/>
      <c r="Y111" s="5"/>
      <c r="Z111" s="5"/>
    </row>
    <row r="112" spans="1:26" ht="13.2" x14ac:dyDescent="0.25">
      <c r="A112" s="70" t="s">
        <v>111</v>
      </c>
      <c r="B112" s="67">
        <v>5</v>
      </c>
      <c r="C112" s="68">
        <f>25.6/1000</f>
        <v>2.5600000000000001E-2</v>
      </c>
      <c r="D112" s="68"/>
      <c r="E112" s="68"/>
      <c r="F112" s="68"/>
      <c r="G112" s="69" t="s">
        <v>8</v>
      </c>
      <c r="H112" s="10"/>
      <c r="I112" s="17"/>
      <c r="J112" s="17"/>
      <c r="K112" s="18"/>
      <c r="L112" s="2"/>
      <c r="M112" s="11"/>
      <c r="N112" s="11"/>
      <c r="O112" s="11"/>
      <c r="P112" s="11"/>
      <c r="Q112" s="1"/>
      <c r="R112" s="10"/>
      <c r="S112" s="10"/>
      <c r="T112" s="10"/>
      <c r="U112" s="10"/>
      <c r="V112" s="10"/>
      <c r="W112" s="5"/>
      <c r="X112" s="5"/>
      <c r="Y112" s="5"/>
      <c r="Z112" s="5"/>
    </row>
    <row r="113" spans="1:26" ht="13.2" x14ac:dyDescent="0.25">
      <c r="A113" s="53">
        <v>1993</v>
      </c>
      <c r="B113" s="54"/>
      <c r="C113" s="55"/>
      <c r="D113" s="55"/>
      <c r="E113" s="55"/>
      <c r="F113" s="55"/>
      <c r="G113" s="22"/>
      <c r="H113" s="10"/>
      <c r="I113" s="17"/>
      <c r="J113" s="17"/>
      <c r="K113" s="18"/>
      <c r="L113" s="2"/>
      <c r="M113" s="11"/>
      <c r="N113" s="11"/>
      <c r="O113" s="11"/>
      <c r="P113" s="11"/>
      <c r="Q113" s="1"/>
      <c r="R113" s="10"/>
      <c r="S113" s="10"/>
      <c r="T113" s="10"/>
      <c r="U113" s="10"/>
      <c r="V113" s="10"/>
      <c r="W113" s="5"/>
      <c r="X113" s="5"/>
      <c r="Y113" s="5"/>
      <c r="Z113" s="5"/>
    </row>
    <row r="114" spans="1:26" ht="13.2" x14ac:dyDescent="0.25">
      <c r="A114" s="65" t="s">
        <v>112</v>
      </c>
      <c r="B114" s="62">
        <v>6</v>
      </c>
      <c r="C114" s="63">
        <f>56.5/1000</f>
        <v>5.6500000000000002E-2</v>
      </c>
      <c r="D114" s="63"/>
      <c r="E114" s="63"/>
      <c r="F114" s="63"/>
      <c r="G114" s="64" t="s">
        <v>8</v>
      </c>
      <c r="H114" s="10"/>
      <c r="I114" s="17"/>
      <c r="J114" s="17"/>
      <c r="K114" s="18"/>
      <c r="L114" s="2"/>
      <c r="M114" s="11"/>
      <c r="N114" s="11"/>
      <c r="O114" s="11"/>
      <c r="P114" s="11"/>
      <c r="Q114" s="1"/>
      <c r="R114" s="10"/>
      <c r="S114" s="10"/>
      <c r="T114" s="10"/>
      <c r="U114" s="10"/>
      <c r="V114" s="10"/>
      <c r="W114" s="5"/>
      <c r="X114" s="5"/>
      <c r="Y114" s="5"/>
      <c r="Z114" s="5"/>
    </row>
    <row r="115" spans="1:26" ht="13.2" x14ac:dyDescent="0.25">
      <c r="A115" s="70" t="s">
        <v>113</v>
      </c>
      <c r="B115" s="67">
        <v>4</v>
      </c>
      <c r="C115" s="68">
        <f>612.6/1000</f>
        <v>0.61260000000000003</v>
      </c>
      <c r="D115" s="68"/>
      <c r="E115" s="68"/>
      <c r="F115" s="68"/>
      <c r="G115" s="69" t="s">
        <v>8</v>
      </c>
      <c r="H115" s="10"/>
      <c r="I115" s="17"/>
      <c r="J115" s="17"/>
      <c r="K115" s="18"/>
      <c r="L115" s="2"/>
      <c r="M115" s="11"/>
      <c r="N115" s="11"/>
      <c r="O115" s="11"/>
      <c r="P115" s="11"/>
      <c r="Q115" s="1"/>
      <c r="R115" s="10"/>
      <c r="S115" s="10"/>
      <c r="T115" s="10"/>
      <c r="U115" s="10"/>
      <c r="V115" s="10"/>
      <c r="W115" s="5"/>
      <c r="X115" s="5"/>
      <c r="Y115" s="5"/>
      <c r="Z115" s="5"/>
    </row>
    <row r="116" spans="1:26" ht="13.2" x14ac:dyDescent="0.25">
      <c r="A116" s="65" t="s">
        <v>114</v>
      </c>
      <c r="B116" s="62">
        <v>4</v>
      </c>
      <c r="C116" s="63">
        <f>111/1000</f>
        <v>0.111</v>
      </c>
      <c r="D116" s="63"/>
      <c r="E116" s="63"/>
      <c r="F116" s="63"/>
      <c r="G116" s="64" t="s">
        <v>8</v>
      </c>
      <c r="H116" s="10"/>
      <c r="I116" s="17"/>
      <c r="J116" s="17"/>
      <c r="K116" s="18"/>
      <c r="L116" s="2"/>
      <c r="M116" s="11"/>
      <c r="N116" s="11"/>
      <c r="O116" s="11"/>
      <c r="P116" s="11"/>
      <c r="Q116" s="1"/>
      <c r="R116" s="10"/>
      <c r="S116" s="10"/>
      <c r="T116" s="10"/>
      <c r="U116" s="10"/>
      <c r="V116" s="10"/>
      <c r="W116" s="5"/>
      <c r="X116" s="5"/>
      <c r="Y116" s="5"/>
      <c r="Z116" s="5"/>
    </row>
    <row r="117" spans="1:26" ht="13.2" x14ac:dyDescent="0.25">
      <c r="A117" s="70" t="s">
        <v>115</v>
      </c>
      <c r="B117" s="67">
        <v>2</v>
      </c>
      <c r="C117" s="68">
        <f>9.31/1000</f>
        <v>9.3100000000000006E-3</v>
      </c>
      <c r="D117" s="68"/>
      <c r="E117" s="68"/>
      <c r="F117" s="68"/>
      <c r="G117" s="69" t="s">
        <v>8</v>
      </c>
      <c r="H117" s="10"/>
      <c r="I117" s="17"/>
      <c r="J117" s="17"/>
      <c r="K117" s="18"/>
      <c r="L117" s="2"/>
      <c r="M117" s="11"/>
      <c r="N117" s="11"/>
      <c r="O117" s="11"/>
      <c r="P117" s="11"/>
      <c r="Q117" s="1"/>
      <c r="R117" s="10"/>
      <c r="S117" s="10"/>
      <c r="T117" s="10"/>
      <c r="U117" s="10"/>
      <c r="V117" s="10"/>
      <c r="W117" s="5"/>
      <c r="X117" s="5"/>
      <c r="Y117" s="5"/>
      <c r="Z117" s="5"/>
    </row>
    <row r="118" spans="1:26" ht="13.2" x14ac:dyDescent="0.25">
      <c r="A118" s="65" t="s">
        <v>116</v>
      </c>
      <c r="B118" s="62">
        <v>3</v>
      </c>
      <c r="C118" s="63">
        <f>512/1000</f>
        <v>0.51200000000000001</v>
      </c>
      <c r="D118" s="63"/>
      <c r="E118" s="63"/>
      <c r="F118" s="63"/>
      <c r="G118" s="64" t="s">
        <v>8</v>
      </c>
      <c r="H118" s="10"/>
      <c r="I118" s="17"/>
      <c r="J118" s="17"/>
      <c r="K118" s="18"/>
      <c r="L118" s="2"/>
      <c r="M118" s="11"/>
      <c r="N118" s="11"/>
      <c r="O118" s="11"/>
      <c r="P118" s="11"/>
      <c r="Q118" s="1"/>
      <c r="R118" s="10"/>
      <c r="S118" s="10"/>
      <c r="T118" s="10"/>
      <c r="U118" s="10"/>
      <c r="V118" s="10"/>
      <c r="W118" s="5"/>
      <c r="X118" s="5"/>
      <c r="Y118" s="5"/>
      <c r="Z118" s="5"/>
    </row>
    <row r="119" spans="1:26" ht="13.2" x14ac:dyDescent="0.25">
      <c r="A119" s="70" t="s">
        <v>117</v>
      </c>
      <c r="B119" s="67">
        <v>8</v>
      </c>
      <c r="C119" s="68">
        <f>26904.8/1000</f>
        <v>26.904799999999998</v>
      </c>
      <c r="D119" s="68"/>
      <c r="E119" s="68"/>
      <c r="F119" s="68"/>
      <c r="G119" s="69" t="s">
        <v>8</v>
      </c>
      <c r="H119" s="10"/>
      <c r="I119" s="17"/>
      <c r="J119" s="17"/>
      <c r="K119" s="18"/>
      <c r="L119" s="2"/>
      <c r="M119" s="11"/>
      <c r="N119" s="11"/>
      <c r="O119" s="11"/>
      <c r="P119" s="11"/>
      <c r="Q119" s="1"/>
      <c r="R119" s="10"/>
      <c r="S119" s="10"/>
      <c r="T119" s="10"/>
      <c r="U119" s="10"/>
      <c r="V119" s="10"/>
      <c r="W119" s="5"/>
      <c r="X119" s="5"/>
      <c r="Y119" s="5"/>
      <c r="Z119" s="5"/>
    </row>
    <row r="120" spans="1:26" ht="13.2" x14ac:dyDescent="0.25">
      <c r="A120" s="65" t="s">
        <v>118</v>
      </c>
      <c r="B120" s="62">
        <v>3</v>
      </c>
      <c r="C120" s="63">
        <f>588.1/1000</f>
        <v>0.58810000000000007</v>
      </c>
      <c r="D120" s="63"/>
      <c r="E120" s="63"/>
      <c r="F120" s="63"/>
      <c r="G120" s="64" t="s">
        <v>8</v>
      </c>
      <c r="H120" s="10"/>
      <c r="I120" s="17"/>
      <c r="J120" s="17"/>
      <c r="K120" s="18"/>
      <c r="L120" s="2"/>
      <c r="M120" s="11"/>
      <c r="N120" s="11"/>
      <c r="O120" s="11"/>
      <c r="P120" s="11"/>
      <c r="Q120" s="1"/>
      <c r="R120" s="10"/>
      <c r="S120" s="10"/>
      <c r="T120" s="10"/>
      <c r="U120" s="10"/>
      <c r="V120" s="10"/>
      <c r="W120" s="5"/>
      <c r="X120" s="5"/>
      <c r="Y120" s="5"/>
      <c r="Z120" s="5"/>
    </row>
    <row r="121" spans="1:26" ht="13.2" x14ac:dyDescent="0.25">
      <c r="A121" s="70" t="s">
        <v>119</v>
      </c>
      <c r="B121" s="67">
        <v>0</v>
      </c>
      <c r="C121" s="68">
        <v>0</v>
      </c>
      <c r="D121" s="68"/>
      <c r="E121" s="68"/>
      <c r="F121" s="68"/>
      <c r="G121" s="69" t="s">
        <v>8</v>
      </c>
      <c r="H121" s="10"/>
      <c r="I121" s="17"/>
      <c r="J121" s="17"/>
      <c r="K121" s="18"/>
      <c r="L121" s="2"/>
      <c r="M121" s="11"/>
      <c r="N121" s="11"/>
      <c r="O121" s="11"/>
      <c r="P121" s="11"/>
      <c r="Q121" s="1"/>
      <c r="R121" s="10"/>
      <c r="S121" s="10"/>
      <c r="T121" s="10"/>
      <c r="U121" s="10"/>
      <c r="V121" s="10"/>
      <c r="W121" s="5"/>
      <c r="X121" s="5"/>
      <c r="Y121" s="5"/>
      <c r="Z121" s="5"/>
    </row>
    <row r="122" spans="1:26" ht="13.2" x14ac:dyDescent="0.25">
      <c r="A122" s="65" t="s">
        <v>120</v>
      </c>
      <c r="B122" s="62">
        <v>2</v>
      </c>
      <c r="C122" s="63">
        <f>58.7/1000</f>
        <v>5.8700000000000002E-2</v>
      </c>
      <c r="D122" s="63"/>
      <c r="E122" s="63"/>
      <c r="F122" s="63"/>
      <c r="G122" s="64" t="s">
        <v>8</v>
      </c>
      <c r="H122" s="10"/>
      <c r="I122" s="17"/>
      <c r="J122" s="17"/>
      <c r="K122" s="18"/>
      <c r="L122" s="2"/>
      <c r="M122" s="11"/>
      <c r="N122" s="11"/>
      <c r="O122" s="11"/>
      <c r="P122" s="11"/>
      <c r="Q122" s="1"/>
      <c r="R122" s="10"/>
      <c r="S122" s="10"/>
      <c r="T122" s="10"/>
      <c r="U122" s="10"/>
      <c r="V122" s="10"/>
      <c r="W122" s="5"/>
      <c r="X122" s="5"/>
      <c r="Y122" s="5"/>
      <c r="Z122" s="5"/>
    </row>
    <row r="123" spans="1:26" ht="13.2" x14ac:dyDescent="0.25">
      <c r="A123" s="70" t="s">
        <v>121</v>
      </c>
      <c r="B123" s="67">
        <v>6</v>
      </c>
      <c r="C123" s="68">
        <f>193.6/1000</f>
        <v>0.19359999999999999</v>
      </c>
      <c r="D123" s="68"/>
      <c r="E123" s="68"/>
      <c r="F123" s="68"/>
      <c r="G123" s="69" t="s">
        <v>8</v>
      </c>
      <c r="H123" s="10"/>
      <c r="I123" s="17"/>
      <c r="J123" s="17"/>
      <c r="K123" s="18"/>
      <c r="L123" s="2"/>
      <c r="M123" s="11"/>
      <c r="N123" s="11"/>
      <c r="O123" s="11"/>
      <c r="P123" s="11"/>
      <c r="Q123" s="1"/>
      <c r="R123" s="10"/>
      <c r="S123" s="10"/>
      <c r="T123" s="10"/>
      <c r="U123" s="10"/>
      <c r="V123" s="10"/>
      <c r="W123" s="5"/>
      <c r="X123" s="5"/>
      <c r="Y123" s="5"/>
      <c r="Z123" s="5"/>
    </row>
    <row r="124" spans="1:26" ht="13.2" x14ac:dyDescent="0.25">
      <c r="A124" s="65" t="s">
        <v>122</v>
      </c>
      <c r="B124" s="62">
        <v>3</v>
      </c>
      <c r="C124" s="63">
        <f>162.1/1000</f>
        <v>0.16209999999999999</v>
      </c>
      <c r="D124" s="63"/>
      <c r="E124" s="63"/>
      <c r="F124" s="63"/>
      <c r="G124" s="64" t="s">
        <v>8</v>
      </c>
      <c r="H124" s="10"/>
      <c r="I124" s="17"/>
      <c r="J124" s="17"/>
      <c r="K124" s="18"/>
      <c r="L124" s="2"/>
      <c r="M124" s="11"/>
      <c r="N124" s="11"/>
      <c r="O124" s="11"/>
      <c r="P124" s="11"/>
      <c r="Q124" s="1"/>
      <c r="R124" s="10"/>
      <c r="S124" s="10"/>
      <c r="T124" s="10"/>
      <c r="U124" s="10"/>
      <c r="V124" s="10"/>
      <c r="W124" s="5"/>
      <c r="X124" s="5"/>
      <c r="Y124" s="5"/>
      <c r="Z124" s="5"/>
    </row>
    <row r="125" spans="1:26" ht="13.2" x14ac:dyDescent="0.25">
      <c r="A125" s="70" t="s">
        <v>123</v>
      </c>
      <c r="B125" s="67">
        <v>13</v>
      </c>
      <c r="C125" s="68">
        <f>944.1/1000</f>
        <v>0.94410000000000005</v>
      </c>
      <c r="D125" s="68"/>
      <c r="E125" s="68"/>
      <c r="F125" s="68"/>
      <c r="G125" s="69" t="s">
        <v>8</v>
      </c>
      <c r="H125" s="10"/>
      <c r="I125" s="17"/>
      <c r="J125" s="17"/>
      <c r="K125" s="18"/>
      <c r="L125" s="2"/>
      <c r="M125" s="11"/>
      <c r="N125" s="11"/>
      <c r="O125" s="11"/>
      <c r="P125" s="11"/>
      <c r="Q125" s="1"/>
      <c r="R125" s="10"/>
      <c r="S125" s="10"/>
      <c r="T125" s="10"/>
      <c r="U125" s="10"/>
      <c r="V125" s="10"/>
      <c r="W125" s="5"/>
      <c r="X125" s="5"/>
      <c r="Y125" s="5"/>
      <c r="Z125" s="5"/>
    </row>
    <row r="126" spans="1:26" ht="13.2" x14ac:dyDescent="0.25">
      <c r="A126" s="53">
        <v>1994</v>
      </c>
      <c r="B126" s="54"/>
      <c r="C126" s="55"/>
      <c r="D126" s="55"/>
      <c r="E126" s="55"/>
      <c r="F126" s="55"/>
      <c r="G126" s="22"/>
      <c r="H126" s="10"/>
      <c r="I126" s="17"/>
      <c r="J126" s="17"/>
      <c r="K126" s="18"/>
      <c r="L126" s="2"/>
      <c r="M126" s="11"/>
      <c r="N126" s="11"/>
      <c r="O126" s="11"/>
      <c r="P126" s="11"/>
      <c r="Q126" s="1"/>
      <c r="R126" s="10"/>
      <c r="S126" s="10"/>
      <c r="T126" s="10"/>
      <c r="U126" s="10"/>
      <c r="V126" s="10"/>
      <c r="W126" s="5"/>
      <c r="X126" s="5"/>
      <c r="Y126" s="5"/>
      <c r="Z126" s="5"/>
    </row>
    <row r="127" spans="1:26" ht="13.2" x14ac:dyDescent="0.25">
      <c r="A127" s="65" t="s">
        <v>124</v>
      </c>
      <c r="B127" s="62">
        <v>4</v>
      </c>
      <c r="C127" s="63">
        <f>2.41/1000</f>
        <v>2.4100000000000002E-3</v>
      </c>
      <c r="D127" s="63"/>
      <c r="E127" s="63"/>
      <c r="F127" s="63"/>
      <c r="G127" s="64" t="s">
        <v>8</v>
      </c>
      <c r="H127" s="10"/>
      <c r="I127" s="17"/>
      <c r="J127" s="17"/>
      <c r="K127" s="18"/>
      <c r="L127" s="2"/>
      <c r="M127" s="11"/>
      <c r="N127" s="11"/>
      <c r="O127" s="11"/>
      <c r="P127" s="11"/>
      <c r="Q127" s="1"/>
      <c r="R127" s="10"/>
      <c r="S127" s="10"/>
      <c r="T127" s="10"/>
      <c r="U127" s="10"/>
      <c r="V127" s="10"/>
      <c r="W127" s="5"/>
      <c r="X127" s="5"/>
      <c r="Y127" s="5"/>
      <c r="Z127" s="5"/>
    </row>
    <row r="128" spans="1:26" ht="13.2" x14ac:dyDescent="0.25">
      <c r="A128" s="70" t="s">
        <v>125</v>
      </c>
      <c r="B128" s="67">
        <v>0</v>
      </c>
      <c r="C128" s="68">
        <v>0</v>
      </c>
      <c r="D128" s="68"/>
      <c r="E128" s="68"/>
      <c r="F128" s="68"/>
      <c r="G128" s="69" t="s">
        <v>8</v>
      </c>
      <c r="H128" s="10"/>
      <c r="I128" s="17"/>
      <c r="J128" s="17"/>
      <c r="K128" s="18"/>
      <c r="L128" s="2"/>
      <c r="M128" s="11"/>
      <c r="N128" s="11"/>
      <c r="O128" s="11"/>
      <c r="P128" s="11"/>
      <c r="Q128" s="1"/>
      <c r="R128" s="10"/>
      <c r="S128" s="10"/>
      <c r="T128" s="10"/>
      <c r="U128" s="10"/>
      <c r="V128" s="10"/>
      <c r="W128" s="5"/>
      <c r="X128" s="5"/>
      <c r="Y128" s="5"/>
      <c r="Z128" s="5"/>
    </row>
    <row r="129" spans="1:26" ht="13.2" x14ac:dyDescent="0.25">
      <c r="A129" s="65" t="s">
        <v>126</v>
      </c>
      <c r="B129" s="62">
        <v>3</v>
      </c>
      <c r="C129" s="63">
        <f>1251.3/1000</f>
        <v>1.2512999999999999</v>
      </c>
      <c r="D129" s="63"/>
      <c r="E129" s="63"/>
      <c r="F129" s="63"/>
      <c r="G129" s="64" t="s">
        <v>8</v>
      </c>
      <c r="H129" s="10"/>
      <c r="I129" s="17"/>
      <c r="J129" s="17"/>
      <c r="K129" s="18"/>
      <c r="L129" s="2"/>
      <c r="M129" s="11"/>
      <c r="N129" s="11"/>
      <c r="O129" s="11"/>
      <c r="P129" s="11"/>
      <c r="Q129" s="1"/>
      <c r="R129" s="10"/>
      <c r="S129" s="10"/>
      <c r="T129" s="10"/>
      <c r="U129" s="10"/>
      <c r="V129" s="10"/>
      <c r="W129" s="5"/>
      <c r="X129" s="5"/>
      <c r="Y129" s="5"/>
      <c r="Z129" s="5"/>
    </row>
    <row r="130" spans="1:26" ht="13.2" x14ac:dyDescent="0.25">
      <c r="A130" s="70" t="s">
        <v>127</v>
      </c>
      <c r="B130" s="67">
        <v>4</v>
      </c>
      <c r="C130" s="68">
        <f>63.7/1000</f>
        <v>6.3700000000000007E-2</v>
      </c>
      <c r="D130" s="68"/>
      <c r="E130" s="68"/>
      <c r="F130" s="68"/>
      <c r="G130" s="69" t="s">
        <v>8</v>
      </c>
      <c r="H130" s="10"/>
      <c r="I130" s="17"/>
      <c r="J130" s="17"/>
      <c r="K130" s="18"/>
      <c r="L130" s="2"/>
      <c r="M130" s="11"/>
      <c r="N130" s="11"/>
      <c r="O130" s="11"/>
      <c r="P130" s="11"/>
      <c r="Q130" s="1"/>
      <c r="R130" s="10"/>
      <c r="S130" s="10"/>
      <c r="T130" s="10"/>
      <c r="U130" s="10"/>
      <c r="V130" s="10"/>
      <c r="W130" s="5"/>
      <c r="X130" s="5"/>
      <c r="Y130" s="5"/>
      <c r="Z130" s="5"/>
    </row>
    <row r="131" spans="1:26" ht="13.2" x14ac:dyDescent="0.25">
      <c r="A131" s="65" t="s">
        <v>128</v>
      </c>
      <c r="B131" s="62">
        <v>6</v>
      </c>
      <c r="C131" s="63">
        <f>312.3/1000</f>
        <v>0.31230000000000002</v>
      </c>
      <c r="D131" s="63"/>
      <c r="E131" s="63"/>
      <c r="F131" s="63"/>
      <c r="G131" s="64" t="s">
        <v>8</v>
      </c>
      <c r="H131" s="10"/>
      <c r="I131" s="17"/>
      <c r="J131" s="17"/>
      <c r="K131" s="18"/>
      <c r="L131" s="2"/>
      <c r="M131" s="11"/>
      <c r="N131" s="11"/>
      <c r="O131" s="11"/>
      <c r="P131" s="11"/>
      <c r="Q131" s="1"/>
      <c r="R131" s="10"/>
      <c r="S131" s="10"/>
      <c r="T131" s="10"/>
      <c r="U131" s="10"/>
      <c r="V131" s="10"/>
      <c r="W131" s="5"/>
      <c r="X131" s="5"/>
      <c r="Y131" s="5"/>
      <c r="Z131" s="5"/>
    </row>
    <row r="132" spans="1:26" ht="13.2" x14ac:dyDescent="0.25">
      <c r="A132" s="70" t="s">
        <v>129</v>
      </c>
      <c r="B132" s="67">
        <v>6</v>
      </c>
      <c r="C132" s="68">
        <f>383.9/1000</f>
        <v>0.38389999999999996</v>
      </c>
      <c r="D132" s="68"/>
      <c r="E132" s="68"/>
      <c r="F132" s="68"/>
      <c r="G132" s="69" t="s">
        <v>8</v>
      </c>
      <c r="H132" s="10"/>
      <c r="I132" s="17"/>
      <c r="J132" s="17"/>
      <c r="K132" s="18"/>
      <c r="L132" s="2"/>
      <c r="M132" s="11"/>
      <c r="N132" s="11"/>
      <c r="O132" s="11"/>
      <c r="P132" s="11"/>
      <c r="Q132" s="1"/>
      <c r="R132" s="10"/>
      <c r="S132" s="10"/>
      <c r="T132" s="10"/>
      <c r="U132" s="10"/>
      <c r="V132" s="10"/>
      <c r="W132" s="5"/>
      <c r="X132" s="5"/>
      <c r="Y132" s="5"/>
      <c r="Z132" s="5"/>
    </row>
    <row r="133" spans="1:26" ht="13.2" x14ac:dyDescent="0.25">
      <c r="A133" s="65" t="s">
        <v>130</v>
      </c>
      <c r="B133" s="62">
        <v>3</v>
      </c>
      <c r="C133" s="63">
        <v>0</v>
      </c>
      <c r="D133" s="63"/>
      <c r="E133" s="63"/>
      <c r="F133" s="63"/>
      <c r="G133" s="64" t="s">
        <v>8</v>
      </c>
      <c r="H133" s="10"/>
      <c r="I133" s="17"/>
      <c r="J133" s="17"/>
      <c r="K133" s="18"/>
      <c r="L133" s="2"/>
      <c r="M133" s="11"/>
      <c r="N133" s="11"/>
      <c r="O133" s="11"/>
      <c r="P133" s="11"/>
      <c r="Q133" s="1"/>
      <c r="R133" s="10"/>
      <c r="S133" s="10"/>
      <c r="T133" s="10"/>
      <c r="U133" s="10"/>
      <c r="V133" s="10"/>
      <c r="W133" s="5"/>
      <c r="X133" s="5"/>
      <c r="Y133" s="5"/>
      <c r="Z133" s="5"/>
    </row>
    <row r="134" spans="1:26" ht="13.2" x14ac:dyDescent="0.25">
      <c r="A134" s="70" t="s">
        <v>131</v>
      </c>
      <c r="B134" s="67">
        <v>2</v>
      </c>
      <c r="C134" s="68">
        <f>39.3/1000</f>
        <v>3.9299999999999995E-2</v>
      </c>
      <c r="D134" s="68"/>
      <c r="E134" s="68"/>
      <c r="F134" s="68"/>
      <c r="G134" s="69" t="s">
        <v>8</v>
      </c>
      <c r="H134" s="10"/>
      <c r="I134" s="17"/>
      <c r="J134" s="17"/>
      <c r="K134" s="18"/>
      <c r="L134" s="2"/>
      <c r="M134" s="11"/>
      <c r="N134" s="11"/>
      <c r="O134" s="11"/>
      <c r="P134" s="11"/>
      <c r="Q134" s="1"/>
      <c r="R134" s="10"/>
      <c r="S134" s="10"/>
      <c r="T134" s="10"/>
      <c r="U134" s="10"/>
      <c r="V134" s="10"/>
      <c r="W134" s="5"/>
      <c r="X134" s="5"/>
      <c r="Y134" s="5"/>
      <c r="Z134" s="5"/>
    </row>
    <row r="135" spans="1:26" ht="13.2" x14ac:dyDescent="0.25">
      <c r="A135" s="65" t="s">
        <v>132</v>
      </c>
      <c r="B135" s="62">
        <v>5</v>
      </c>
      <c r="C135" s="63">
        <f>195.6/1000</f>
        <v>0.1956</v>
      </c>
      <c r="D135" s="63"/>
      <c r="E135" s="63"/>
      <c r="F135" s="63"/>
      <c r="G135" s="64" t="s">
        <v>8</v>
      </c>
      <c r="H135" s="10"/>
      <c r="I135" s="17"/>
      <c r="J135" s="17"/>
      <c r="K135" s="18"/>
      <c r="L135" s="2"/>
      <c r="M135" s="11"/>
      <c r="N135" s="11"/>
      <c r="O135" s="11"/>
      <c r="P135" s="11"/>
      <c r="Q135" s="1"/>
      <c r="R135" s="10"/>
      <c r="S135" s="10"/>
      <c r="T135" s="10"/>
      <c r="U135" s="10"/>
      <c r="V135" s="10"/>
      <c r="W135" s="5"/>
      <c r="X135" s="5"/>
      <c r="Y135" s="5"/>
      <c r="Z135" s="5"/>
    </row>
    <row r="136" spans="1:26" ht="13.2" x14ac:dyDescent="0.25">
      <c r="A136" s="70" t="s">
        <v>133</v>
      </c>
      <c r="B136" s="67">
        <v>5</v>
      </c>
      <c r="C136" s="68">
        <f>137.5/1000</f>
        <v>0.13750000000000001</v>
      </c>
      <c r="D136" s="68"/>
      <c r="E136" s="68"/>
      <c r="F136" s="68"/>
      <c r="G136" s="69" t="s">
        <v>8</v>
      </c>
      <c r="H136" s="10"/>
      <c r="I136" s="17"/>
      <c r="J136" s="17"/>
      <c r="K136" s="18"/>
      <c r="L136" s="2"/>
      <c r="M136" s="11"/>
      <c r="N136" s="11"/>
      <c r="O136" s="11"/>
      <c r="P136" s="11"/>
      <c r="Q136" s="1"/>
      <c r="R136" s="10"/>
      <c r="S136" s="10"/>
      <c r="T136" s="10"/>
      <c r="U136" s="10"/>
      <c r="V136" s="10"/>
      <c r="W136" s="5"/>
      <c r="X136" s="5"/>
      <c r="Y136" s="5"/>
      <c r="Z136" s="5"/>
    </row>
    <row r="137" spans="1:26" ht="13.2" x14ac:dyDescent="0.25">
      <c r="A137" s="65" t="s">
        <v>134</v>
      </c>
      <c r="B137" s="62">
        <v>2</v>
      </c>
      <c r="C137" s="63">
        <f>15.3/1000</f>
        <v>1.5300000000000001E-2</v>
      </c>
      <c r="D137" s="63"/>
      <c r="E137" s="63"/>
      <c r="F137" s="63"/>
      <c r="G137" s="64" t="s">
        <v>8</v>
      </c>
      <c r="H137" s="10"/>
      <c r="I137" s="17"/>
      <c r="J137" s="17"/>
      <c r="K137" s="18"/>
      <c r="L137" s="2"/>
      <c r="M137" s="11"/>
      <c r="N137" s="11"/>
      <c r="O137" s="11"/>
      <c r="P137" s="11"/>
      <c r="Q137" s="1"/>
      <c r="R137" s="10"/>
      <c r="S137" s="10"/>
      <c r="T137" s="10"/>
      <c r="U137" s="10"/>
      <c r="V137" s="10"/>
      <c r="W137" s="5"/>
      <c r="X137" s="5"/>
      <c r="Y137" s="5"/>
      <c r="Z137" s="5"/>
    </row>
    <row r="138" spans="1:26" ht="13.2" x14ac:dyDescent="0.25">
      <c r="A138" s="70" t="s">
        <v>135</v>
      </c>
      <c r="B138" s="67">
        <v>8</v>
      </c>
      <c r="C138" s="68">
        <f>65.9/1000</f>
        <v>6.59E-2</v>
      </c>
      <c r="D138" s="68"/>
      <c r="E138" s="68"/>
      <c r="F138" s="68"/>
      <c r="G138" s="69" t="s">
        <v>8</v>
      </c>
      <c r="H138" s="10"/>
      <c r="I138" s="17"/>
      <c r="J138" s="17"/>
      <c r="K138" s="18"/>
      <c r="L138" s="2"/>
      <c r="M138" s="11"/>
      <c r="N138" s="11"/>
      <c r="O138" s="11"/>
      <c r="P138" s="11"/>
      <c r="Q138" s="1"/>
      <c r="R138" s="10"/>
      <c r="S138" s="10"/>
      <c r="T138" s="10"/>
      <c r="U138" s="10"/>
      <c r="V138" s="10"/>
      <c r="W138" s="5"/>
      <c r="X138" s="5"/>
      <c r="Y138" s="5"/>
      <c r="Z138" s="5"/>
    </row>
    <row r="139" spans="1:26" ht="13.2" x14ac:dyDescent="0.25">
      <c r="A139" s="53">
        <v>1995</v>
      </c>
      <c r="B139" s="54"/>
      <c r="C139" s="55"/>
      <c r="D139" s="55"/>
      <c r="E139" s="55"/>
      <c r="F139" s="55"/>
      <c r="G139" s="22"/>
      <c r="H139" s="10"/>
      <c r="I139" s="17"/>
      <c r="J139" s="17"/>
      <c r="K139" s="18"/>
      <c r="L139" s="2"/>
      <c r="M139" s="11"/>
      <c r="N139" s="11"/>
      <c r="O139" s="11"/>
      <c r="P139" s="11"/>
      <c r="Q139" s="1"/>
      <c r="R139" s="10"/>
      <c r="S139" s="10"/>
      <c r="T139" s="10"/>
      <c r="U139" s="10"/>
      <c r="V139" s="10"/>
      <c r="W139" s="5"/>
      <c r="X139" s="5"/>
      <c r="Y139" s="5"/>
      <c r="Z139" s="5"/>
    </row>
    <row r="140" spans="1:26" ht="13.2" x14ac:dyDescent="0.25">
      <c r="A140" s="65" t="s">
        <v>136</v>
      </c>
      <c r="B140" s="62">
        <v>3</v>
      </c>
      <c r="C140" s="63">
        <f>9/1000</f>
        <v>8.9999999999999993E-3</v>
      </c>
      <c r="D140" s="63"/>
      <c r="E140" s="63"/>
      <c r="F140" s="63"/>
      <c r="G140" s="64" t="s">
        <v>8</v>
      </c>
      <c r="H140" s="10"/>
      <c r="I140" s="17"/>
      <c r="J140" s="17"/>
      <c r="K140" s="18"/>
      <c r="L140" s="2"/>
      <c r="M140" s="11"/>
      <c r="N140" s="11"/>
      <c r="O140" s="11"/>
      <c r="P140" s="11"/>
      <c r="Q140" s="1"/>
      <c r="R140" s="10"/>
      <c r="S140" s="10"/>
      <c r="T140" s="10"/>
      <c r="U140" s="10"/>
      <c r="V140" s="10"/>
      <c r="W140" s="5"/>
      <c r="X140" s="5"/>
      <c r="Y140" s="5"/>
      <c r="Z140" s="5"/>
    </row>
    <row r="141" spans="1:26" ht="13.2" x14ac:dyDescent="0.25">
      <c r="A141" s="70" t="s">
        <v>137</v>
      </c>
      <c r="B141" s="67">
        <v>5</v>
      </c>
      <c r="C141" s="68">
        <f>222.54/1000</f>
        <v>0.22253999999999999</v>
      </c>
      <c r="D141" s="68"/>
      <c r="E141" s="68"/>
      <c r="F141" s="68"/>
      <c r="G141" s="69" t="s">
        <v>8</v>
      </c>
      <c r="H141" s="10"/>
      <c r="I141" s="17"/>
      <c r="J141" s="17"/>
      <c r="K141" s="18"/>
      <c r="L141" s="2"/>
      <c r="M141" s="11"/>
      <c r="N141" s="11"/>
      <c r="O141" s="11"/>
      <c r="P141" s="11"/>
      <c r="Q141" s="1"/>
      <c r="R141" s="10"/>
      <c r="S141" s="10"/>
      <c r="T141" s="10"/>
      <c r="U141" s="10"/>
      <c r="V141" s="10"/>
      <c r="W141" s="5"/>
      <c r="X141" s="5"/>
      <c r="Y141" s="5"/>
      <c r="Z141" s="5"/>
    </row>
    <row r="142" spans="1:26" ht="13.2" x14ac:dyDescent="0.25">
      <c r="A142" s="65" t="s">
        <v>138</v>
      </c>
      <c r="B142" s="62">
        <v>1</v>
      </c>
      <c r="C142" s="63">
        <f>7.9/1000</f>
        <v>7.9000000000000008E-3</v>
      </c>
      <c r="D142" s="63"/>
      <c r="E142" s="63"/>
      <c r="F142" s="63"/>
      <c r="G142" s="64" t="s">
        <v>8</v>
      </c>
      <c r="H142" s="10"/>
      <c r="I142" s="17"/>
      <c r="J142" s="17"/>
      <c r="K142" s="18"/>
      <c r="L142" s="2"/>
      <c r="M142" s="11"/>
      <c r="N142" s="11"/>
      <c r="O142" s="11"/>
      <c r="P142" s="11"/>
      <c r="Q142" s="1"/>
      <c r="R142" s="10"/>
      <c r="S142" s="10"/>
      <c r="T142" s="10"/>
      <c r="U142" s="10"/>
      <c r="V142" s="10"/>
      <c r="W142" s="5"/>
      <c r="X142" s="5"/>
      <c r="Y142" s="5"/>
      <c r="Z142" s="5"/>
    </row>
    <row r="143" spans="1:26" ht="13.2" x14ac:dyDescent="0.25">
      <c r="A143" s="70" t="s">
        <v>139</v>
      </c>
      <c r="B143" s="67">
        <v>2</v>
      </c>
      <c r="C143" s="68">
        <f>81.37/1000</f>
        <v>8.1369999999999998E-2</v>
      </c>
      <c r="D143" s="68"/>
      <c r="E143" s="68"/>
      <c r="F143" s="68"/>
      <c r="G143" s="69" t="s">
        <v>8</v>
      </c>
      <c r="H143" s="10"/>
      <c r="I143" s="17"/>
      <c r="J143" s="17"/>
      <c r="K143" s="18"/>
      <c r="L143" s="2"/>
      <c r="M143" s="11"/>
      <c r="N143" s="11"/>
      <c r="O143" s="11"/>
      <c r="P143" s="11"/>
      <c r="Q143" s="1"/>
      <c r="R143" s="10"/>
      <c r="S143" s="10"/>
      <c r="T143" s="10"/>
      <c r="U143" s="10"/>
      <c r="V143" s="10"/>
      <c r="W143" s="5"/>
      <c r="X143" s="5"/>
      <c r="Y143" s="5"/>
      <c r="Z143" s="5"/>
    </row>
    <row r="144" spans="1:26" ht="13.2" x14ac:dyDescent="0.25">
      <c r="A144" s="65" t="s">
        <v>140</v>
      </c>
      <c r="B144" s="62">
        <v>5</v>
      </c>
      <c r="C144" s="63">
        <f>484/1000</f>
        <v>0.48399999999999999</v>
      </c>
      <c r="D144" s="63"/>
      <c r="E144" s="63"/>
      <c r="F144" s="63"/>
      <c r="G144" s="64" t="s">
        <v>8</v>
      </c>
      <c r="H144" s="10"/>
      <c r="I144" s="17"/>
      <c r="J144" s="17"/>
      <c r="K144" s="18"/>
      <c r="L144" s="2"/>
      <c r="M144" s="11"/>
      <c r="N144" s="11"/>
      <c r="O144" s="11"/>
      <c r="P144" s="11"/>
      <c r="Q144" s="1"/>
      <c r="R144" s="10"/>
      <c r="S144" s="10"/>
      <c r="T144" s="10"/>
      <c r="U144" s="10"/>
      <c r="V144" s="10"/>
      <c r="W144" s="5"/>
      <c r="X144" s="5"/>
      <c r="Y144" s="5"/>
      <c r="Z144" s="5"/>
    </row>
    <row r="145" spans="1:26" ht="13.2" x14ac:dyDescent="0.25">
      <c r="A145" s="70" t="s">
        <v>141</v>
      </c>
      <c r="B145" s="67">
        <v>13</v>
      </c>
      <c r="C145" s="68">
        <f>280.99/1000</f>
        <v>0.28099000000000002</v>
      </c>
      <c r="D145" s="68"/>
      <c r="E145" s="68"/>
      <c r="F145" s="68"/>
      <c r="G145" s="69" t="s">
        <v>8</v>
      </c>
      <c r="H145" s="10"/>
      <c r="I145" s="17"/>
      <c r="J145" s="17"/>
      <c r="K145" s="18"/>
      <c r="L145" s="2"/>
      <c r="M145" s="11"/>
      <c r="N145" s="11"/>
      <c r="O145" s="11"/>
      <c r="P145" s="11"/>
      <c r="Q145" s="1"/>
      <c r="R145" s="10"/>
      <c r="S145" s="10"/>
      <c r="T145" s="10"/>
      <c r="U145" s="10"/>
      <c r="V145" s="10"/>
      <c r="W145" s="5"/>
      <c r="X145" s="5"/>
      <c r="Y145" s="5"/>
      <c r="Z145" s="5"/>
    </row>
    <row r="146" spans="1:26" ht="13.2" x14ac:dyDescent="0.25">
      <c r="A146" s="65" t="s">
        <v>142</v>
      </c>
      <c r="B146" s="62">
        <v>3</v>
      </c>
      <c r="C146" s="63">
        <f>35.8/1000</f>
        <v>3.5799999999999998E-2</v>
      </c>
      <c r="D146" s="63"/>
      <c r="E146" s="63"/>
      <c r="F146" s="63"/>
      <c r="G146" s="64" t="s">
        <v>8</v>
      </c>
      <c r="H146" s="10"/>
      <c r="I146" s="17"/>
      <c r="J146" s="17"/>
      <c r="K146" s="18"/>
      <c r="L146" s="2"/>
      <c r="M146" s="11"/>
      <c r="N146" s="11"/>
      <c r="O146" s="11"/>
      <c r="P146" s="11"/>
      <c r="Q146" s="1"/>
      <c r="R146" s="10"/>
      <c r="S146" s="10"/>
      <c r="T146" s="10"/>
      <c r="U146" s="10"/>
      <c r="V146" s="10"/>
      <c r="W146" s="5"/>
      <c r="X146" s="5"/>
      <c r="Y146" s="5"/>
      <c r="Z146" s="5"/>
    </row>
    <row r="147" spans="1:26" ht="13.2" x14ac:dyDescent="0.25">
      <c r="A147" s="70" t="s">
        <v>143</v>
      </c>
      <c r="B147" s="67">
        <v>1</v>
      </c>
      <c r="C147" s="68">
        <v>0</v>
      </c>
      <c r="D147" s="71"/>
      <c r="E147" s="68"/>
      <c r="F147" s="68"/>
      <c r="G147" s="69" t="s">
        <v>8</v>
      </c>
      <c r="H147" s="10"/>
      <c r="I147" s="17"/>
      <c r="J147" s="17"/>
      <c r="K147" s="18"/>
      <c r="L147" s="2"/>
      <c r="M147" s="11"/>
      <c r="N147" s="11"/>
      <c r="O147" s="11"/>
      <c r="P147" s="11"/>
      <c r="Q147" s="1"/>
      <c r="R147" s="10"/>
      <c r="S147" s="10"/>
      <c r="T147" s="10"/>
      <c r="U147" s="10"/>
      <c r="V147" s="10"/>
      <c r="W147" s="5"/>
      <c r="X147" s="5"/>
      <c r="Y147" s="5"/>
      <c r="Z147" s="5"/>
    </row>
    <row r="148" spans="1:26" ht="13.2" x14ac:dyDescent="0.25">
      <c r="A148" s="65" t="s">
        <v>144</v>
      </c>
      <c r="B148" s="62">
        <v>5</v>
      </c>
      <c r="C148" s="63">
        <f>91.7/1000</f>
        <v>9.1700000000000004E-2</v>
      </c>
      <c r="D148" s="63"/>
      <c r="E148" s="63"/>
      <c r="F148" s="63"/>
      <c r="G148" s="64" t="s">
        <v>8</v>
      </c>
      <c r="H148" s="10"/>
      <c r="I148" s="17"/>
      <c r="J148" s="17"/>
      <c r="K148" s="18"/>
      <c r="L148" s="2"/>
      <c r="M148" s="11"/>
      <c r="N148" s="11"/>
      <c r="O148" s="11"/>
      <c r="P148" s="11"/>
      <c r="Q148" s="1"/>
      <c r="R148" s="10"/>
      <c r="S148" s="10"/>
      <c r="T148" s="10"/>
      <c r="U148" s="10"/>
      <c r="V148" s="10"/>
      <c r="W148" s="5"/>
      <c r="X148" s="5"/>
      <c r="Y148" s="5"/>
      <c r="Z148" s="5"/>
    </row>
    <row r="149" spans="1:26" ht="13.2" x14ac:dyDescent="0.25">
      <c r="A149" s="70" t="s">
        <v>145</v>
      </c>
      <c r="B149" s="67">
        <v>7</v>
      </c>
      <c r="C149" s="68">
        <f>2793.67/1000</f>
        <v>2.7936700000000001</v>
      </c>
      <c r="D149" s="68"/>
      <c r="E149" s="68"/>
      <c r="F149" s="68"/>
      <c r="G149" s="69" t="s">
        <v>8</v>
      </c>
      <c r="H149" s="10"/>
      <c r="I149" s="17"/>
      <c r="J149" s="17"/>
      <c r="K149" s="18"/>
      <c r="L149" s="2"/>
      <c r="M149" s="11"/>
      <c r="N149" s="11"/>
      <c r="O149" s="11"/>
      <c r="P149" s="11"/>
      <c r="Q149" s="1"/>
      <c r="R149" s="10"/>
      <c r="S149" s="10"/>
      <c r="T149" s="10"/>
      <c r="U149" s="10"/>
      <c r="V149" s="10"/>
      <c r="W149" s="5"/>
      <c r="X149" s="5"/>
      <c r="Y149" s="5"/>
      <c r="Z149" s="5"/>
    </row>
    <row r="150" spans="1:26" ht="13.2" x14ac:dyDescent="0.25">
      <c r="A150" s="65" t="s">
        <v>146</v>
      </c>
      <c r="B150" s="62">
        <v>3</v>
      </c>
      <c r="C150" s="63">
        <f>343.4/1000</f>
        <v>0.34339999999999998</v>
      </c>
      <c r="D150" s="63"/>
      <c r="E150" s="63"/>
      <c r="F150" s="63"/>
      <c r="G150" s="64" t="s">
        <v>8</v>
      </c>
      <c r="H150" s="10"/>
      <c r="I150" s="17"/>
      <c r="J150" s="17"/>
      <c r="K150" s="18"/>
      <c r="L150" s="2"/>
      <c r="M150" s="11"/>
      <c r="N150" s="11"/>
      <c r="O150" s="11"/>
      <c r="P150" s="11"/>
      <c r="Q150" s="1"/>
      <c r="R150" s="10"/>
      <c r="S150" s="10"/>
      <c r="T150" s="10"/>
      <c r="U150" s="10"/>
      <c r="V150" s="10"/>
      <c r="W150" s="5"/>
      <c r="X150" s="5"/>
      <c r="Y150" s="5"/>
      <c r="Z150" s="5"/>
    </row>
    <row r="151" spans="1:26" ht="13.2" x14ac:dyDescent="0.25">
      <c r="A151" s="70" t="s">
        <v>28</v>
      </c>
      <c r="B151" s="67">
        <v>19</v>
      </c>
      <c r="C151" s="68">
        <f>667.3/1000</f>
        <v>0.6673</v>
      </c>
      <c r="D151" s="68"/>
      <c r="E151" s="68"/>
      <c r="F151" s="68"/>
      <c r="G151" s="69" t="s">
        <v>8</v>
      </c>
      <c r="H151" s="10"/>
      <c r="I151" s="17"/>
      <c r="J151" s="17"/>
      <c r="K151" s="18"/>
      <c r="L151" s="2"/>
      <c r="M151" s="11"/>
      <c r="N151" s="11"/>
      <c r="O151" s="11"/>
      <c r="P151" s="11"/>
      <c r="Q151" s="1"/>
      <c r="R151" s="10"/>
      <c r="S151" s="10"/>
      <c r="T151" s="10"/>
      <c r="U151" s="10"/>
      <c r="V151" s="10"/>
      <c r="W151" s="5"/>
      <c r="X151" s="5"/>
      <c r="Y151" s="5"/>
      <c r="Z151" s="5"/>
    </row>
    <row r="152" spans="1:26" ht="13.2" x14ac:dyDescent="0.25">
      <c r="A152" s="53">
        <v>1996</v>
      </c>
      <c r="B152" s="54"/>
      <c r="C152" s="55"/>
      <c r="D152" s="55"/>
      <c r="E152" s="55"/>
      <c r="F152" s="55"/>
      <c r="G152" s="22"/>
      <c r="H152" s="10"/>
      <c r="I152" s="17"/>
      <c r="J152" s="17"/>
      <c r="K152" s="18"/>
      <c r="L152" s="2"/>
      <c r="M152" s="11"/>
      <c r="N152" s="11"/>
      <c r="O152" s="11"/>
      <c r="P152" s="11"/>
      <c r="Q152" s="1"/>
      <c r="R152" s="10"/>
      <c r="S152" s="10"/>
      <c r="T152" s="10"/>
      <c r="U152" s="10"/>
      <c r="V152" s="10"/>
      <c r="W152" s="5"/>
      <c r="X152" s="5"/>
      <c r="Y152" s="5"/>
      <c r="Z152" s="5"/>
    </row>
    <row r="153" spans="1:26" ht="13.2" x14ac:dyDescent="0.25">
      <c r="A153" s="65" t="s">
        <v>147</v>
      </c>
      <c r="B153" s="62">
        <v>3</v>
      </c>
      <c r="C153" s="63">
        <f>209.5/1000</f>
        <v>0.20949999999999999</v>
      </c>
      <c r="D153" s="63"/>
      <c r="E153" s="63"/>
      <c r="F153" s="63"/>
      <c r="G153" s="64" t="s">
        <v>8</v>
      </c>
      <c r="H153" s="10"/>
      <c r="I153" s="17"/>
      <c r="J153" s="17"/>
      <c r="K153" s="18"/>
      <c r="L153" s="2"/>
      <c r="M153" s="11"/>
      <c r="N153" s="11"/>
      <c r="O153" s="11"/>
      <c r="P153" s="11"/>
      <c r="Q153" s="1"/>
      <c r="R153" s="10"/>
      <c r="S153" s="10"/>
      <c r="T153" s="10"/>
      <c r="U153" s="10"/>
      <c r="V153" s="10"/>
      <c r="W153" s="5"/>
      <c r="X153" s="5"/>
      <c r="Y153" s="5"/>
      <c r="Z153" s="5"/>
    </row>
    <row r="154" spans="1:26" ht="13.2" x14ac:dyDescent="0.25">
      <c r="A154" s="70" t="s">
        <v>148</v>
      </c>
      <c r="B154" s="67">
        <v>6</v>
      </c>
      <c r="C154" s="68">
        <f>662.3/1000</f>
        <v>0.6623</v>
      </c>
      <c r="D154" s="68"/>
      <c r="E154" s="68"/>
      <c r="F154" s="68"/>
      <c r="G154" s="69" t="s">
        <v>8</v>
      </c>
      <c r="H154" s="10"/>
      <c r="I154" s="17"/>
      <c r="J154" s="17"/>
      <c r="K154" s="18"/>
      <c r="L154" s="2"/>
      <c r="M154" s="11"/>
      <c r="N154" s="11"/>
      <c r="O154" s="11"/>
      <c r="P154" s="11"/>
      <c r="Q154" s="1"/>
      <c r="R154" s="10"/>
      <c r="S154" s="10"/>
      <c r="T154" s="10"/>
      <c r="U154" s="10"/>
      <c r="V154" s="10"/>
      <c r="W154" s="5"/>
      <c r="X154" s="5"/>
      <c r="Y154" s="5"/>
      <c r="Z154" s="5"/>
    </row>
    <row r="155" spans="1:26" ht="13.2" x14ac:dyDescent="0.25">
      <c r="A155" s="65" t="s">
        <v>149</v>
      </c>
      <c r="B155" s="62">
        <v>11</v>
      </c>
      <c r="C155" s="63">
        <f>180/1000</f>
        <v>0.18</v>
      </c>
      <c r="D155" s="63"/>
      <c r="E155" s="63"/>
      <c r="F155" s="63"/>
      <c r="G155" s="64" t="s">
        <v>8</v>
      </c>
      <c r="H155" s="10"/>
      <c r="I155" s="17"/>
      <c r="J155" s="17"/>
      <c r="K155" s="18"/>
      <c r="L155" s="2"/>
      <c r="M155" s="11"/>
      <c r="N155" s="11"/>
      <c r="O155" s="11"/>
      <c r="P155" s="11"/>
      <c r="Q155" s="1"/>
      <c r="R155" s="10"/>
      <c r="S155" s="10"/>
      <c r="T155" s="10"/>
      <c r="U155" s="10"/>
      <c r="V155" s="10"/>
      <c r="W155" s="5"/>
      <c r="X155" s="5"/>
      <c r="Y155" s="5"/>
      <c r="Z155" s="5"/>
    </row>
    <row r="156" spans="1:26" ht="13.2" x14ac:dyDescent="0.25">
      <c r="A156" s="70" t="s">
        <v>150</v>
      </c>
      <c r="B156" s="67">
        <v>8</v>
      </c>
      <c r="C156" s="68">
        <f>188/1000</f>
        <v>0.188</v>
      </c>
      <c r="D156" s="68"/>
      <c r="E156" s="68"/>
      <c r="F156" s="68"/>
      <c r="G156" s="69" t="s">
        <v>8</v>
      </c>
      <c r="H156" s="10"/>
      <c r="I156" s="17"/>
      <c r="J156" s="17"/>
      <c r="K156" s="18"/>
      <c r="L156" s="2"/>
      <c r="M156" s="11"/>
      <c r="N156" s="11"/>
      <c r="O156" s="11"/>
      <c r="P156" s="11"/>
      <c r="Q156" s="1"/>
      <c r="R156" s="10"/>
      <c r="S156" s="10"/>
      <c r="T156" s="10"/>
      <c r="U156" s="10"/>
      <c r="V156" s="10"/>
      <c r="W156" s="5"/>
      <c r="X156" s="5"/>
      <c r="Y156" s="5"/>
      <c r="Z156" s="5"/>
    </row>
    <row r="157" spans="1:26" ht="13.2" x14ac:dyDescent="0.25">
      <c r="A157" s="65" t="s">
        <v>151</v>
      </c>
      <c r="B157" s="62">
        <v>10</v>
      </c>
      <c r="C157" s="63">
        <f>4282.9/1000</f>
        <v>4.2828999999999997</v>
      </c>
      <c r="D157" s="63"/>
      <c r="E157" s="63"/>
      <c r="F157" s="63"/>
      <c r="G157" s="64" t="s">
        <v>8</v>
      </c>
      <c r="H157" s="10"/>
      <c r="I157" s="17"/>
      <c r="J157" s="17"/>
      <c r="K157" s="18"/>
      <c r="L157" s="2"/>
      <c r="M157" s="11"/>
      <c r="N157" s="11"/>
      <c r="O157" s="11"/>
      <c r="P157" s="11"/>
      <c r="Q157" s="1"/>
      <c r="R157" s="10"/>
      <c r="S157" s="10"/>
      <c r="T157" s="10"/>
      <c r="U157" s="10"/>
      <c r="V157" s="10"/>
      <c r="W157" s="5"/>
      <c r="X157" s="5"/>
      <c r="Y157" s="5"/>
      <c r="Z157" s="5"/>
    </row>
    <row r="158" spans="1:26" ht="13.2" x14ac:dyDescent="0.25">
      <c r="A158" s="70" t="s">
        <v>152</v>
      </c>
      <c r="B158" s="67">
        <v>10</v>
      </c>
      <c r="C158" s="68">
        <f>1188.8/1000</f>
        <v>1.1887999999999999</v>
      </c>
      <c r="D158" s="68"/>
      <c r="E158" s="68"/>
      <c r="F158" s="68"/>
      <c r="G158" s="69" t="s">
        <v>8</v>
      </c>
      <c r="H158" s="10"/>
      <c r="I158" s="17"/>
      <c r="J158" s="17"/>
      <c r="K158" s="18"/>
      <c r="L158" s="2"/>
      <c r="M158" s="11"/>
      <c r="N158" s="11"/>
      <c r="O158" s="11"/>
      <c r="P158" s="11"/>
      <c r="Q158" s="1"/>
      <c r="R158" s="10"/>
      <c r="S158" s="10"/>
      <c r="T158" s="10"/>
      <c r="U158" s="10"/>
      <c r="V158" s="10"/>
      <c r="W158" s="5"/>
      <c r="X158" s="5"/>
      <c r="Y158" s="5"/>
      <c r="Z158" s="5"/>
    </row>
    <row r="159" spans="1:26" ht="13.2" x14ac:dyDescent="0.25">
      <c r="A159" s="65" t="s">
        <v>153</v>
      </c>
      <c r="B159" s="62">
        <v>4</v>
      </c>
      <c r="C159" s="63">
        <f>227.5/1000</f>
        <v>0.22750000000000001</v>
      </c>
      <c r="D159" s="63"/>
      <c r="E159" s="63"/>
      <c r="F159" s="63"/>
      <c r="G159" s="64" t="s">
        <v>8</v>
      </c>
      <c r="H159" s="10"/>
      <c r="I159" s="17"/>
      <c r="J159" s="17"/>
      <c r="K159" s="18"/>
      <c r="L159" s="2"/>
      <c r="M159" s="11"/>
      <c r="N159" s="11"/>
      <c r="O159" s="11"/>
      <c r="P159" s="11"/>
      <c r="Q159" s="1"/>
      <c r="R159" s="10"/>
      <c r="S159" s="10"/>
      <c r="T159" s="10"/>
      <c r="U159" s="10"/>
      <c r="V159" s="10"/>
      <c r="W159" s="5"/>
      <c r="X159" s="5"/>
      <c r="Y159" s="5"/>
      <c r="Z159" s="5"/>
    </row>
    <row r="160" spans="1:26" ht="13.2" x14ac:dyDescent="0.25">
      <c r="A160" s="70" t="s">
        <v>154</v>
      </c>
      <c r="B160" s="67">
        <v>8</v>
      </c>
      <c r="C160" s="68">
        <f>563/1000</f>
        <v>0.56299999999999994</v>
      </c>
      <c r="D160" s="68"/>
      <c r="E160" s="68"/>
      <c r="F160" s="68"/>
      <c r="G160" s="69" t="s">
        <v>8</v>
      </c>
      <c r="H160" s="10"/>
      <c r="I160" s="17"/>
      <c r="J160" s="17"/>
      <c r="K160" s="18"/>
      <c r="L160" s="2"/>
      <c r="M160" s="11"/>
      <c r="N160" s="11"/>
      <c r="O160" s="11"/>
      <c r="P160" s="11"/>
      <c r="Q160" s="1"/>
      <c r="R160" s="10"/>
      <c r="S160" s="10"/>
      <c r="T160" s="10"/>
      <c r="U160" s="10"/>
      <c r="V160" s="10"/>
      <c r="W160" s="5"/>
      <c r="X160" s="5"/>
      <c r="Y160" s="5"/>
      <c r="Z160" s="5"/>
    </row>
    <row r="161" spans="1:26" ht="13.2" x14ac:dyDescent="0.25">
      <c r="A161" s="65" t="s">
        <v>155</v>
      </c>
      <c r="B161" s="72">
        <v>12</v>
      </c>
      <c r="C161" s="63">
        <f>767.4/1000</f>
        <v>0.76739999999999997</v>
      </c>
      <c r="D161" s="63"/>
      <c r="E161" s="63"/>
      <c r="F161" s="63"/>
      <c r="G161" s="64" t="s">
        <v>8</v>
      </c>
      <c r="H161" s="10"/>
      <c r="I161" s="17"/>
      <c r="J161" s="17"/>
      <c r="K161" s="18"/>
      <c r="L161" s="2"/>
      <c r="M161" s="11"/>
      <c r="N161" s="11"/>
      <c r="O161" s="11"/>
      <c r="P161" s="11"/>
      <c r="Q161" s="1"/>
      <c r="R161" s="10"/>
      <c r="S161" s="10"/>
      <c r="T161" s="10"/>
      <c r="U161" s="10"/>
      <c r="V161" s="10"/>
      <c r="W161" s="5"/>
      <c r="X161" s="5"/>
      <c r="Y161" s="5"/>
      <c r="Z161" s="5"/>
    </row>
    <row r="162" spans="1:26" ht="13.2" x14ac:dyDescent="0.25">
      <c r="A162" s="70" t="s">
        <v>156</v>
      </c>
      <c r="B162" s="67">
        <v>8</v>
      </c>
      <c r="C162" s="68">
        <f>144.6/1000</f>
        <v>0.14460000000000001</v>
      </c>
      <c r="D162" s="68"/>
      <c r="E162" s="68"/>
      <c r="F162" s="68"/>
      <c r="G162" s="69" t="s">
        <v>8</v>
      </c>
      <c r="H162" s="10"/>
      <c r="I162" s="17"/>
      <c r="J162" s="17"/>
      <c r="K162" s="18"/>
      <c r="L162" s="2"/>
      <c r="M162" s="11"/>
      <c r="N162" s="11"/>
      <c r="O162" s="11"/>
      <c r="P162" s="11"/>
      <c r="Q162" s="1"/>
      <c r="R162" s="10"/>
      <c r="S162" s="10"/>
      <c r="T162" s="10"/>
      <c r="U162" s="10"/>
      <c r="V162" s="10"/>
      <c r="W162" s="5"/>
      <c r="X162" s="5"/>
      <c r="Y162" s="5"/>
      <c r="Z162" s="5"/>
    </row>
    <row r="163" spans="1:26" ht="13.2" x14ac:dyDescent="0.25">
      <c r="A163" s="65" t="s">
        <v>157</v>
      </c>
      <c r="B163" s="62">
        <v>6</v>
      </c>
      <c r="C163" s="63">
        <f>344.7/1000</f>
        <v>0.34470000000000001</v>
      </c>
      <c r="D163" s="63"/>
      <c r="E163" s="63"/>
      <c r="F163" s="63"/>
      <c r="G163" s="64" t="s">
        <v>8</v>
      </c>
      <c r="H163" s="10"/>
      <c r="I163" s="17"/>
      <c r="J163" s="17"/>
      <c r="K163" s="18"/>
      <c r="L163" s="2"/>
      <c r="M163" s="11"/>
      <c r="N163" s="11"/>
      <c r="O163" s="11"/>
      <c r="P163" s="11"/>
      <c r="Q163" s="1"/>
      <c r="R163" s="10"/>
      <c r="S163" s="10"/>
      <c r="T163" s="10"/>
      <c r="U163" s="10"/>
      <c r="V163" s="10"/>
      <c r="W163" s="5"/>
      <c r="X163" s="5"/>
      <c r="Y163" s="5"/>
      <c r="Z163" s="5"/>
    </row>
    <row r="164" spans="1:26" ht="13.2" x14ac:dyDescent="0.25">
      <c r="A164" s="70" t="s">
        <v>158</v>
      </c>
      <c r="B164" s="67">
        <v>19</v>
      </c>
      <c r="C164" s="68">
        <f>684.1/1000</f>
        <v>0.68410000000000004</v>
      </c>
      <c r="D164" s="68"/>
      <c r="E164" s="68"/>
      <c r="F164" s="68"/>
      <c r="G164" s="69" t="s">
        <v>8</v>
      </c>
      <c r="H164" s="10"/>
      <c r="I164" s="17"/>
      <c r="J164" s="17"/>
      <c r="K164" s="18"/>
      <c r="L164" s="2"/>
      <c r="M164" s="11"/>
      <c r="N164" s="11"/>
      <c r="O164" s="11"/>
      <c r="P164" s="11"/>
      <c r="Q164" s="1"/>
      <c r="R164" s="10"/>
      <c r="S164" s="10"/>
      <c r="T164" s="10"/>
      <c r="U164" s="10"/>
      <c r="V164" s="10"/>
      <c r="W164" s="5"/>
      <c r="X164" s="5"/>
      <c r="Y164" s="5"/>
      <c r="Z164" s="5"/>
    </row>
    <row r="165" spans="1:26" ht="13.2" x14ac:dyDescent="0.25">
      <c r="A165" s="53">
        <v>1997</v>
      </c>
      <c r="B165" s="54"/>
      <c r="C165" s="55"/>
      <c r="D165" s="55"/>
      <c r="E165" s="55"/>
      <c r="F165" s="55"/>
      <c r="G165" s="22"/>
      <c r="H165" s="10"/>
      <c r="I165" s="17"/>
      <c r="J165" s="17"/>
      <c r="K165" s="18"/>
      <c r="L165" s="2"/>
      <c r="M165" s="11"/>
      <c r="N165" s="11"/>
      <c r="O165" s="11"/>
      <c r="P165" s="11"/>
      <c r="Q165" s="1"/>
      <c r="R165" s="10"/>
      <c r="S165" s="10"/>
      <c r="T165" s="10"/>
      <c r="U165" s="10"/>
      <c r="V165" s="10"/>
      <c r="W165" s="5"/>
      <c r="X165" s="5"/>
      <c r="Y165" s="5"/>
      <c r="Z165" s="5"/>
    </row>
    <row r="166" spans="1:26" ht="13.2" x14ac:dyDescent="0.25">
      <c r="A166" s="65" t="s">
        <v>159</v>
      </c>
      <c r="B166" s="62">
        <v>12</v>
      </c>
      <c r="C166" s="63">
        <f>9780.7/1000</f>
        <v>9.7807000000000013</v>
      </c>
      <c r="D166" s="63"/>
      <c r="E166" s="63"/>
      <c r="F166" s="63"/>
      <c r="G166" s="64" t="s">
        <v>8</v>
      </c>
      <c r="H166" s="10"/>
      <c r="I166" s="17"/>
      <c r="J166" s="17"/>
      <c r="K166" s="18"/>
      <c r="L166" s="2"/>
      <c r="M166" s="11"/>
      <c r="N166" s="11"/>
      <c r="O166" s="11"/>
      <c r="P166" s="11"/>
      <c r="Q166" s="1"/>
      <c r="R166" s="10"/>
      <c r="S166" s="10"/>
      <c r="T166" s="10"/>
      <c r="U166" s="10"/>
      <c r="V166" s="10"/>
      <c r="W166" s="5"/>
      <c r="X166" s="5"/>
      <c r="Y166" s="5"/>
      <c r="Z166" s="5"/>
    </row>
    <row r="167" spans="1:26" ht="13.2" x14ac:dyDescent="0.25">
      <c r="A167" s="70" t="s">
        <v>160</v>
      </c>
      <c r="B167" s="67">
        <v>7</v>
      </c>
      <c r="C167" s="68">
        <f>216.5/1000</f>
        <v>0.2165</v>
      </c>
      <c r="D167" s="68"/>
      <c r="E167" s="68"/>
      <c r="F167" s="68"/>
      <c r="G167" s="69" t="s">
        <v>8</v>
      </c>
      <c r="H167" s="10"/>
      <c r="I167" s="17"/>
      <c r="J167" s="17"/>
      <c r="K167" s="18"/>
      <c r="L167" s="2"/>
      <c r="M167" s="11"/>
      <c r="N167" s="11"/>
      <c r="O167" s="11"/>
      <c r="P167" s="11"/>
      <c r="Q167" s="1"/>
      <c r="R167" s="10"/>
      <c r="S167" s="10"/>
      <c r="T167" s="10"/>
      <c r="U167" s="10"/>
      <c r="V167" s="10"/>
      <c r="W167" s="5"/>
      <c r="X167" s="5"/>
      <c r="Y167" s="5"/>
      <c r="Z167" s="5"/>
    </row>
    <row r="168" spans="1:26" ht="13.2" x14ac:dyDescent="0.25">
      <c r="A168" s="65" t="s">
        <v>161</v>
      </c>
      <c r="B168" s="62">
        <v>10</v>
      </c>
      <c r="C168" s="63">
        <f>118.6/1000</f>
        <v>0.1186</v>
      </c>
      <c r="D168" s="63"/>
      <c r="E168" s="63"/>
      <c r="F168" s="63"/>
      <c r="G168" s="64" t="s">
        <v>8</v>
      </c>
      <c r="H168" s="10"/>
      <c r="I168" s="17"/>
      <c r="J168" s="17"/>
      <c r="K168" s="18"/>
      <c r="L168" s="2"/>
      <c r="M168" s="11"/>
      <c r="N168" s="11"/>
      <c r="O168" s="11"/>
      <c r="P168" s="11"/>
      <c r="Q168" s="1"/>
      <c r="R168" s="10"/>
      <c r="S168" s="10"/>
      <c r="T168" s="10"/>
      <c r="U168" s="10"/>
      <c r="V168" s="10"/>
      <c r="W168" s="5"/>
      <c r="X168" s="5"/>
      <c r="Y168" s="5"/>
      <c r="Z168" s="5"/>
    </row>
    <row r="169" spans="1:26" ht="13.2" x14ac:dyDescent="0.25">
      <c r="A169" s="70" t="s">
        <v>162</v>
      </c>
      <c r="B169" s="67">
        <v>13</v>
      </c>
      <c r="C169" s="68">
        <f>6614/1000</f>
        <v>6.6139999999999999</v>
      </c>
      <c r="D169" s="68"/>
      <c r="E169" s="68"/>
      <c r="F169" s="68"/>
      <c r="G169" s="69" t="s">
        <v>8</v>
      </c>
      <c r="H169" s="10"/>
      <c r="I169" s="17"/>
      <c r="J169" s="17"/>
      <c r="K169" s="18"/>
      <c r="L169" s="2"/>
      <c r="M169" s="11"/>
      <c r="N169" s="11"/>
      <c r="O169" s="11"/>
      <c r="P169" s="11"/>
      <c r="Q169" s="1"/>
      <c r="R169" s="10"/>
      <c r="S169" s="10"/>
      <c r="T169" s="10"/>
      <c r="U169" s="10"/>
      <c r="V169" s="10"/>
      <c r="W169" s="5"/>
      <c r="X169" s="5"/>
      <c r="Y169" s="5"/>
      <c r="Z169" s="5"/>
    </row>
    <row r="170" spans="1:26" ht="13.2" x14ac:dyDescent="0.25">
      <c r="A170" s="65" t="s">
        <v>163</v>
      </c>
      <c r="B170" s="62">
        <v>7</v>
      </c>
      <c r="C170" s="63">
        <f>2596.2/1000</f>
        <v>2.5961999999999996</v>
      </c>
      <c r="D170" s="63"/>
      <c r="E170" s="63"/>
      <c r="F170" s="63"/>
      <c r="G170" s="64" t="s">
        <v>8</v>
      </c>
      <c r="H170" s="10"/>
      <c r="I170" s="17"/>
      <c r="J170" s="17"/>
      <c r="K170" s="18"/>
      <c r="L170" s="2"/>
      <c r="M170" s="11"/>
      <c r="N170" s="11"/>
      <c r="O170" s="11"/>
      <c r="P170" s="11"/>
      <c r="Q170" s="1"/>
      <c r="R170" s="10"/>
      <c r="S170" s="10"/>
      <c r="T170" s="10"/>
      <c r="U170" s="10"/>
      <c r="V170" s="10"/>
      <c r="W170" s="5"/>
      <c r="X170" s="5"/>
      <c r="Y170" s="5"/>
      <c r="Z170" s="5"/>
    </row>
    <row r="171" spans="1:26" ht="13.2" x14ac:dyDescent="0.25">
      <c r="A171" s="70" t="s">
        <v>164</v>
      </c>
      <c r="B171" s="67">
        <v>21</v>
      </c>
      <c r="C171" s="68">
        <f>297/1000</f>
        <v>0.29699999999999999</v>
      </c>
      <c r="D171" s="68"/>
      <c r="E171" s="68"/>
      <c r="F171" s="68"/>
      <c r="G171" s="69" t="s">
        <v>8</v>
      </c>
      <c r="H171" s="10"/>
      <c r="I171" s="17"/>
      <c r="J171" s="17"/>
      <c r="K171" s="18"/>
      <c r="L171" s="2"/>
      <c r="M171" s="11"/>
      <c r="N171" s="11"/>
      <c r="O171" s="11"/>
      <c r="P171" s="11"/>
      <c r="Q171" s="1"/>
      <c r="R171" s="10"/>
      <c r="S171" s="10"/>
      <c r="T171" s="10"/>
      <c r="U171" s="10"/>
      <c r="V171" s="10"/>
      <c r="W171" s="5"/>
      <c r="X171" s="5"/>
      <c r="Y171" s="5"/>
      <c r="Z171" s="5"/>
    </row>
    <row r="172" spans="1:26" ht="13.2" x14ac:dyDescent="0.25">
      <c r="A172" s="65" t="s">
        <v>165</v>
      </c>
      <c r="B172" s="62">
        <v>12</v>
      </c>
      <c r="C172" s="63">
        <f>610.7/1000</f>
        <v>0.61070000000000002</v>
      </c>
      <c r="D172" s="63"/>
      <c r="E172" s="63"/>
      <c r="F172" s="63"/>
      <c r="G172" s="64" t="s">
        <v>8</v>
      </c>
      <c r="H172" s="10"/>
      <c r="I172" s="17"/>
      <c r="J172" s="17"/>
      <c r="K172" s="18"/>
      <c r="L172" s="2"/>
      <c r="M172" s="11"/>
      <c r="N172" s="11"/>
      <c r="O172" s="11"/>
      <c r="P172" s="11"/>
      <c r="Q172" s="1"/>
      <c r="R172" s="10"/>
      <c r="S172" s="10"/>
      <c r="T172" s="10"/>
      <c r="U172" s="10"/>
      <c r="V172" s="10"/>
      <c r="W172" s="5"/>
      <c r="X172" s="5"/>
      <c r="Y172" s="5"/>
      <c r="Z172" s="5"/>
    </row>
    <row r="173" spans="1:26" ht="13.2" x14ac:dyDescent="0.25">
      <c r="A173" s="70" t="s">
        <v>166</v>
      </c>
      <c r="B173" s="67">
        <v>5</v>
      </c>
      <c r="C173" s="68">
        <f>74.7/1000</f>
        <v>7.4700000000000003E-2</v>
      </c>
      <c r="D173" s="68"/>
      <c r="E173" s="68"/>
      <c r="F173" s="68"/>
      <c r="G173" s="69" t="s">
        <v>8</v>
      </c>
      <c r="H173" s="10"/>
      <c r="I173" s="17"/>
      <c r="J173" s="17"/>
      <c r="K173" s="18"/>
      <c r="L173" s="2"/>
      <c r="M173" s="11"/>
      <c r="N173" s="11"/>
      <c r="O173" s="11"/>
      <c r="P173" s="11"/>
      <c r="Q173" s="1"/>
      <c r="R173" s="10"/>
      <c r="S173" s="10"/>
      <c r="T173" s="10"/>
      <c r="U173" s="10"/>
      <c r="V173" s="10"/>
      <c r="W173" s="5"/>
      <c r="X173" s="5"/>
      <c r="Y173" s="5"/>
      <c r="Z173" s="5"/>
    </row>
    <row r="174" spans="1:26" ht="13.2" x14ac:dyDescent="0.25">
      <c r="A174" s="65" t="s">
        <v>167</v>
      </c>
      <c r="B174" s="62">
        <v>8</v>
      </c>
      <c r="C174" s="63">
        <f>161.1/1000</f>
        <v>0.16109999999999999</v>
      </c>
      <c r="D174" s="63"/>
      <c r="E174" s="63"/>
      <c r="F174" s="63"/>
      <c r="G174" s="64" t="s">
        <v>8</v>
      </c>
      <c r="H174" s="10"/>
      <c r="I174" s="17"/>
      <c r="J174" s="17"/>
      <c r="K174" s="18"/>
      <c r="L174" s="2"/>
      <c r="M174" s="11"/>
      <c r="N174" s="11"/>
      <c r="O174" s="11"/>
      <c r="P174" s="11"/>
      <c r="Q174" s="1"/>
      <c r="R174" s="10"/>
      <c r="S174" s="10"/>
      <c r="T174" s="10"/>
      <c r="U174" s="10"/>
      <c r="V174" s="10"/>
      <c r="W174" s="5"/>
      <c r="X174" s="5"/>
      <c r="Y174" s="5"/>
      <c r="Z174" s="5"/>
    </row>
    <row r="175" spans="1:26" ht="13.2" x14ac:dyDescent="0.25">
      <c r="A175" s="70" t="s">
        <v>168</v>
      </c>
      <c r="B175" s="67">
        <v>12</v>
      </c>
      <c r="C175" s="68">
        <f>7168/1000</f>
        <v>7.1680000000000001</v>
      </c>
      <c r="D175" s="68"/>
      <c r="E175" s="68"/>
      <c r="F175" s="68"/>
      <c r="G175" s="69" t="s">
        <v>8</v>
      </c>
      <c r="H175" s="10"/>
      <c r="I175" s="17"/>
      <c r="J175" s="17"/>
      <c r="K175" s="18"/>
      <c r="L175" s="2"/>
      <c r="M175" s="11"/>
      <c r="N175" s="11"/>
      <c r="O175" s="11"/>
      <c r="P175" s="11"/>
      <c r="Q175" s="1"/>
      <c r="R175" s="10"/>
      <c r="S175" s="10"/>
      <c r="T175" s="10"/>
      <c r="U175" s="10"/>
      <c r="V175" s="10"/>
      <c r="W175" s="5"/>
      <c r="X175" s="5"/>
      <c r="Y175" s="5"/>
      <c r="Z175" s="5"/>
    </row>
    <row r="176" spans="1:26" ht="13.2" x14ac:dyDescent="0.25">
      <c r="A176" s="65" t="s">
        <v>169</v>
      </c>
      <c r="B176" s="62">
        <v>14</v>
      </c>
      <c r="C176" s="63">
        <f>1429.3/1000</f>
        <v>1.4293</v>
      </c>
      <c r="D176" s="63"/>
      <c r="E176" s="63"/>
      <c r="F176" s="63"/>
      <c r="G176" s="64" t="s">
        <v>8</v>
      </c>
      <c r="H176" s="10"/>
      <c r="I176" s="17"/>
      <c r="J176" s="17"/>
      <c r="K176" s="18"/>
      <c r="L176" s="2"/>
      <c r="M176" s="11"/>
      <c r="N176" s="11"/>
      <c r="O176" s="11"/>
      <c r="P176" s="11"/>
      <c r="Q176" s="1"/>
      <c r="R176" s="10"/>
      <c r="S176" s="10"/>
      <c r="T176" s="10"/>
      <c r="U176" s="10"/>
      <c r="V176" s="10"/>
      <c r="W176" s="5"/>
      <c r="X176" s="5"/>
      <c r="Y176" s="5"/>
      <c r="Z176" s="5"/>
    </row>
    <row r="177" spans="1:26" ht="13.2" x14ac:dyDescent="0.25">
      <c r="A177" s="70" t="s">
        <v>170</v>
      </c>
      <c r="B177" s="67">
        <v>44</v>
      </c>
      <c r="C177" s="68">
        <f>913.8/1000</f>
        <v>0.91379999999999995</v>
      </c>
      <c r="D177" s="68"/>
      <c r="E177" s="68"/>
      <c r="F177" s="68"/>
      <c r="G177" s="69" t="s">
        <v>8</v>
      </c>
      <c r="H177" s="10"/>
      <c r="I177" s="17"/>
      <c r="J177" s="17"/>
      <c r="K177" s="18"/>
      <c r="L177" s="2"/>
      <c r="M177" s="11"/>
      <c r="N177" s="11"/>
      <c r="O177" s="11"/>
      <c r="P177" s="11"/>
      <c r="Q177" s="1"/>
      <c r="R177" s="10"/>
      <c r="S177" s="10"/>
      <c r="T177" s="10"/>
      <c r="U177" s="10"/>
      <c r="V177" s="10"/>
      <c r="W177" s="5"/>
      <c r="X177" s="5"/>
      <c r="Y177" s="5"/>
      <c r="Z177" s="5"/>
    </row>
    <row r="178" spans="1:26" ht="13.2" x14ac:dyDescent="0.25">
      <c r="A178" s="53">
        <v>1998</v>
      </c>
      <c r="B178" s="54"/>
      <c r="C178" s="55"/>
      <c r="D178" s="55"/>
      <c r="E178" s="55"/>
      <c r="F178" s="55"/>
      <c r="G178" s="22"/>
      <c r="H178" s="10"/>
      <c r="I178" s="17"/>
      <c r="J178" s="17"/>
      <c r="K178" s="18"/>
      <c r="L178" s="2"/>
      <c r="M178" s="11"/>
      <c r="N178" s="11"/>
      <c r="O178" s="11"/>
      <c r="P178" s="11"/>
      <c r="Q178" s="1"/>
      <c r="R178" s="10"/>
      <c r="S178" s="10"/>
      <c r="T178" s="10"/>
      <c r="U178" s="10"/>
      <c r="V178" s="10"/>
      <c r="W178" s="5"/>
      <c r="X178" s="5"/>
      <c r="Y178" s="5"/>
      <c r="Z178" s="5"/>
    </row>
    <row r="179" spans="1:26" ht="13.2" x14ac:dyDescent="0.25">
      <c r="A179" s="65" t="s">
        <v>171</v>
      </c>
      <c r="B179" s="62">
        <v>44</v>
      </c>
      <c r="C179" s="63">
        <f>1128.3/1000</f>
        <v>1.1282999999999999</v>
      </c>
      <c r="D179" s="63"/>
      <c r="E179" s="63"/>
      <c r="F179" s="63"/>
      <c r="G179" s="64" t="s">
        <v>8</v>
      </c>
      <c r="H179" s="10"/>
      <c r="I179" s="17"/>
      <c r="J179" s="17"/>
      <c r="K179" s="18"/>
      <c r="L179" s="2"/>
      <c r="M179" s="11"/>
      <c r="N179" s="11"/>
      <c r="O179" s="11"/>
      <c r="P179" s="11"/>
      <c r="Q179" s="1"/>
      <c r="R179" s="10"/>
      <c r="S179" s="10"/>
      <c r="T179" s="10"/>
      <c r="U179" s="10"/>
      <c r="V179" s="10"/>
      <c r="W179" s="5"/>
      <c r="X179" s="5"/>
      <c r="Y179" s="5"/>
      <c r="Z179" s="5"/>
    </row>
    <row r="180" spans="1:26" ht="13.2" x14ac:dyDescent="0.25">
      <c r="A180" s="70" t="s">
        <v>172</v>
      </c>
      <c r="B180" s="67">
        <v>49</v>
      </c>
      <c r="C180" s="68">
        <f>2138.64/1000</f>
        <v>2.1386399999999997</v>
      </c>
      <c r="D180" s="68"/>
      <c r="E180" s="68"/>
      <c r="F180" s="68"/>
      <c r="G180" s="69" t="s">
        <v>8</v>
      </c>
      <c r="H180" s="10"/>
      <c r="I180" s="17"/>
      <c r="J180" s="17"/>
      <c r="K180" s="18"/>
      <c r="L180" s="2"/>
      <c r="M180" s="11"/>
      <c r="N180" s="11"/>
      <c r="O180" s="11"/>
      <c r="P180" s="11"/>
      <c r="Q180" s="1"/>
      <c r="R180" s="10"/>
      <c r="S180" s="10"/>
      <c r="T180" s="10"/>
      <c r="U180" s="10"/>
      <c r="V180" s="10"/>
      <c r="W180" s="5"/>
      <c r="X180" s="5"/>
      <c r="Y180" s="5"/>
      <c r="Z180" s="5"/>
    </row>
    <row r="181" spans="1:26" ht="13.2" x14ac:dyDescent="0.25">
      <c r="A181" s="65" t="s">
        <v>173</v>
      </c>
      <c r="B181" s="62">
        <v>63</v>
      </c>
      <c r="C181" s="63">
        <f>4248.2/1000</f>
        <v>4.2481999999999998</v>
      </c>
      <c r="D181" s="63"/>
      <c r="E181" s="63"/>
      <c r="F181" s="63"/>
      <c r="G181" s="64" t="s">
        <v>8</v>
      </c>
      <c r="H181" s="10"/>
      <c r="I181" s="17"/>
      <c r="J181" s="17"/>
      <c r="K181" s="18"/>
      <c r="L181" s="2"/>
      <c r="M181" s="11"/>
      <c r="N181" s="11"/>
      <c r="O181" s="11"/>
      <c r="P181" s="11"/>
      <c r="Q181" s="1"/>
      <c r="R181" s="10"/>
      <c r="S181" s="10"/>
      <c r="T181" s="10"/>
      <c r="U181" s="10"/>
      <c r="V181" s="10"/>
      <c r="W181" s="5"/>
      <c r="X181" s="5"/>
      <c r="Y181" s="5"/>
      <c r="Z181" s="5"/>
    </row>
    <row r="182" spans="1:26" ht="13.2" x14ac:dyDescent="0.25">
      <c r="A182" s="70" t="s">
        <v>174</v>
      </c>
      <c r="B182" s="67">
        <v>68</v>
      </c>
      <c r="C182" s="68">
        <f>2469.08/1000</f>
        <v>2.4690799999999999</v>
      </c>
      <c r="D182" s="68"/>
      <c r="E182" s="68"/>
      <c r="F182" s="68"/>
      <c r="G182" s="69" t="s">
        <v>8</v>
      </c>
      <c r="H182" s="10"/>
      <c r="I182" s="17"/>
      <c r="J182" s="17"/>
      <c r="K182" s="18"/>
      <c r="L182" s="2"/>
      <c r="M182" s="11"/>
      <c r="N182" s="11"/>
      <c r="O182" s="11"/>
      <c r="P182" s="11"/>
      <c r="Q182" s="1"/>
      <c r="R182" s="10"/>
      <c r="S182" s="10"/>
      <c r="T182" s="10"/>
      <c r="U182" s="10"/>
      <c r="V182" s="10"/>
      <c r="W182" s="5"/>
      <c r="X182" s="5"/>
      <c r="Y182" s="5"/>
      <c r="Z182" s="5"/>
    </row>
    <row r="183" spans="1:26" ht="13.2" x14ac:dyDescent="0.25">
      <c r="A183" s="65" t="s">
        <v>175</v>
      </c>
      <c r="B183" s="62">
        <v>61</v>
      </c>
      <c r="C183" s="63">
        <f>6797.3/1000</f>
        <v>6.7972999999999999</v>
      </c>
      <c r="D183" s="63"/>
      <c r="E183" s="63"/>
      <c r="F183" s="63"/>
      <c r="G183" s="64" t="s">
        <v>8</v>
      </c>
      <c r="H183" s="10"/>
      <c r="I183" s="17"/>
      <c r="J183" s="17"/>
      <c r="K183" s="18"/>
      <c r="L183" s="2"/>
      <c r="M183" s="11"/>
      <c r="N183" s="11"/>
      <c r="O183" s="11"/>
      <c r="P183" s="11"/>
      <c r="Q183" s="1"/>
      <c r="R183" s="10"/>
      <c r="S183" s="10"/>
      <c r="T183" s="10"/>
      <c r="U183" s="10"/>
      <c r="V183" s="10"/>
      <c r="W183" s="5"/>
      <c r="X183" s="5"/>
      <c r="Y183" s="5"/>
      <c r="Z183" s="5"/>
    </row>
    <row r="184" spans="1:26" ht="13.2" x14ac:dyDescent="0.25">
      <c r="A184" s="70" t="s">
        <v>176</v>
      </c>
      <c r="B184" s="67">
        <v>87</v>
      </c>
      <c r="C184" s="68">
        <f>8211.3/1000</f>
        <v>8.2112999999999996</v>
      </c>
      <c r="D184" s="68"/>
      <c r="E184" s="68"/>
      <c r="F184" s="68"/>
      <c r="G184" s="69" t="s">
        <v>8</v>
      </c>
      <c r="H184" s="10"/>
      <c r="I184" s="17"/>
      <c r="J184" s="17"/>
      <c r="K184" s="18"/>
      <c r="L184" s="2"/>
      <c r="M184" s="11"/>
      <c r="N184" s="11"/>
      <c r="O184" s="11"/>
      <c r="P184" s="11"/>
      <c r="Q184" s="1"/>
      <c r="R184" s="10"/>
      <c r="S184" s="10"/>
      <c r="T184" s="10"/>
      <c r="U184" s="10"/>
      <c r="V184" s="10"/>
      <c r="W184" s="5"/>
      <c r="X184" s="5"/>
      <c r="Y184" s="5"/>
      <c r="Z184" s="5"/>
    </row>
    <row r="185" spans="1:26" ht="13.2" x14ac:dyDescent="0.25">
      <c r="A185" s="65" t="s">
        <v>177</v>
      </c>
      <c r="B185" s="62">
        <v>62</v>
      </c>
      <c r="C185" s="63">
        <f>2104.8/1000</f>
        <v>2.1048</v>
      </c>
      <c r="D185" s="63"/>
      <c r="E185" s="63"/>
      <c r="F185" s="63"/>
      <c r="G185" s="64" t="s">
        <v>8</v>
      </c>
      <c r="H185" s="10"/>
      <c r="I185" s="17"/>
      <c r="J185" s="17"/>
      <c r="K185" s="18"/>
      <c r="L185" s="2"/>
      <c r="M185" s="11"/>
      <c r="N185" s="11"/>
      <c r="O185" s="11"/>
      <c r="P185" s="11"/>
      <c r="Q185" s="1"/>
      <c r="R185" s="10"/>
      <c r="S185" s="10"/>
      <c r="T185" s="10"/>
      <c r="U185" s="10"/>
      <c r="V185" s="10"/>
      <c r="W185" s="5"/>
      <c r="X185" s="5"/>
      <c r="Y185" s="5"/>
      <c r="Z185" s="5"/>
    </row>
    <row r="186" spans="1:26" ht="13.2" x14ac:dyDescent="0.25">
      <c r="A186" s="70" t="s">
        <v>178</v>
      </c>
      <c r="B186" s="73">
        <v>62</v>
      </c>
      <c r="C186" s="68">
        <f>7181.58/1000</f>
        <v>7.1815800000000003</v>
      </c>
      <c r="D186" s="68"/>
      <c r="E186" s="68"/>
      <c r="F186" s="68"/>
      <c r="G186" s="69" t="s">
        <v>8</v>
      </c>
      <c r="H186" s="10"/>
      <c r="I186" s="17"/>
      <c r="J186" s="17"/>
      <c r="K186" s="18"/>
      <c r="L186" s="2"/>
      <c r="M186" s="11"/>
      <c r="N186" s="11"/>
      <c r="O186" s="11"/>
      <c r="P186" s="11"/>
      <c r="Q186" s="1"/>
      <c r="R186" s="10"/>
      <c r="S186" s="10"/>
      <c r="T186" s="10"/>
      <c r="U186" s="10"/>
      <c r="V186" s="10"/>
      <c r="W186" s="5"/>
      <c r="X186" s="5"/>
      <c r="Y186" s="5"/>
      <c r="Z186" s="5"/>
    </row>
    <row r="187" spans="1:26" ht="13.2" x14ac:dyDescent="0.25">
      <c r="A187" s="65" t="s">
        <v>179</v>
      </c>
      <c r="B187" s="62">
        <v>73</v>
      </c>
      <c r="C187" s="63">
        <f>6940.2/1000</f>
        <v>6.9401999999999999</v>
      </c>
      <c r="D187" s="63"/>
      <c r="E187" s="63"/>
      <c r="F187" s="63"/>
      <c r="G187" s="64" t="s">
        <v>8</v>
      </c>
      <c r="H187" s="10"/>
      <c r="I187" s="17"/>
      <c r="J187" s="17"/>
      <c r="K187" s="18"/>
      <c r="L187" s="2"/>
      <c r="M187" s="11"/>
      <c r="N187" s="11"/>
      <c r="O187" s="11"/>
      <c r="P187" s="11"/>
      <c r="Q187" s="1"/>
      <c r="R187" s="10"/>
      <c r="S187" s="10"/>
      <c r="T187" s="10"/>
      <c r="U187" s="10"/>
      <c r="V187" s="10"/>
      <c r="W187" s="5"/>
      <c r="X187" s="5"/>
      <c r="Y187" s="5"/>
      <c r="Z187" s="5"/>
    </row>
    <row r="188" spans="1:26" ht="13.2" x14ac:dyDescent="0.25">
      <c r="A188" s="70" t="s">
        <v>180</v>
      </c>
      <c r="B188" s="67">
        <v>71</v>
      </c>
      <c r="C188" s="68">
        <f>5209.3/1000</f>
        <v>5.2092999999999998</v>
      </c>
      <c r="D188" s="68"/>
      <c r="E188" s="68"/>
      <c r="F188" s="68"/>
      <c r="G188" s="69" t="s">
        <v>8</v>
      </c>
      <c r="H188" s="10"/>
      <c r="I188" s="17"/>
      <c r="J188" s="17"/>
      <c r="K188" s="18"/>
      <c r="L188" s="2"/>
      <c r="M188" s="11"/>
      <c r="N188" s="11"/>
      <c r="O188" s="11"/>
      <c r="P188" s="11"/>
      <c r="Q188" s="1"/>
      <c r="R188" s="10"/>
      <c r="S188" s="10"/>
      <c r="T188" s="10"/>
      <c r="U188" s="10"/>
      <c r="V188" s="10"/>
      <c r="W188" s="5"/>
      <c r="X188" s="5"/>
      <c r="Y188" s="5"/>
      <c r="Z188" s="5"/>
    </row>
    <row r="189" spans="1:26" ht="13.2" x14ac:dyDescent="0.25">
      <c r="A189" s="65" t="s">
        <v>181</v>
      </c>
      <c r="B189" s="62">
        <v>49</v>
      </c>
      <c r="C189" s="63">
        <f>5724.21/1000</f>
        <v>5.7242100000000002</v>
      </c>
      <c r="D189" s="63"/>
      <c r="E189" s="63"/>
      <c r="F189" s="63"/>
      <c r="G189" s="64" t="s">
        <v>8</v>
      </c>
      <c r="H189" s="10"/>
      <c r="I189" s="17"/>
      <c r="J189" s="17"/>
      <c r="K189" s="18"/>
      <c r="L189" s="2"/>
      <c r="M189" s="11"/>
      <c r="N189" s="11"/>
      <c r="O189" s="11"/>
      <c r="P189" s="11"/>
      <c r="Q189" s="1"/>
      <c r="R189" s="10"/>
      <c r="S189" s="10"/>
      <c r="T189" s="10"/>
      <c r="U189" s="10"/>
      <c r="V189" s="10"/>
      <c r="W189" s="5"/>
      <c r="X189" s="5"/>
      <c r="Y189" s="5"/>
      <c r="Z189" s="5"/>
    </row>
    <row r="190" spans="1:26" ht="13.2" x14ac:dyDescent="0.25">
      <c r="A190" s="70" t="s">
        <v>182</v>
      </c>
      <c r="B190" s="67">
        <v>105</v>
      </c>
      <c r="C190" s="68">
        <f>13056.5/1000</f>
        <v>13.0565</v>
      </c>
      <c r="D190" s="68"/>
      <c r="E190" s="68"/>
      <c r="F190" s="68"/>
      <c r="G190" s="69" t="s">
        <v>8</v>
      </c>
      <c r="H190" s="10"/>
      <c r="I190" s="17"/>
      <c r="J190" s="17"/>
      <c r="K190" s="18"/>
      <c r="L190" s="2"/>
      <c r="M190" s="11"/>
      <c r="N190" s="11"/>
      <c r="O190" s="11"/>
      <c r="P190" s="11"/>
      <c r="Q190" s="1"/>
      <c r="R190" s="10"/>
      <c r="S190" s="10"/>
      <c r="T190" s="10"/>
      <c r="U190" s="10"/>
      <c r="V190" s="10"/>
      <c r="W190" s="5"/>
      <c r="X190" s="5"/>
      <c r="Y190" s="5"/>
      <c r="Z190" s="5"/>
    </row>
    <row r="191" spans="1:26" ht="13.2" x14ac:dyDescent="0.25">
      <c r="A191" s="53">
        <v>1999</v>
      </c>
      <c r="B191" s="54"/>
      <c r="C191" s="55"/>
      <c r="D191" s="55"/>
      <c r="E191" s="55"/>
      <c r="F191" s="55"/>
      <c r="G191" s="22"/>
      <c r="H191" s="10"/>
      <c r="I191" s="17"/>
      <c r="J191" s="17"/>
      <c r="K191" s="18"/>
      <c r="L191" s="2"/>
      <c r="M191" s="11"/>
      <c r="N191" s="11"/>
      <c r="O191" s="11"/>
      <c r="P191" s="11"/>
      <c r="Q191" s="1"/>
      <c r="R191" s="10"/>
      <c r="S191" s="10"/>
      <c r="T191" s="10"/>
      <c r="U191" s="10"/>
      <c r="V191" s="10"/>
      <c r="W191" s="5"/>
      <c r="X191" s="5"/>
      <c r="Y191" s="5"/>
      <c r="Z191" s="5"/>
    </row>
    <row r="192" spans="1:26" ht="13.2" x14ac:dyDescent="0.25">
      <c r="A192" s="65" t="s">
        <v>183</v>
      </c>
      <c r="B192" s="62">
        <v>64</v>
      </c>
      <c r="C192" s="63">
        <f>8928.88/1000</f>
        <v>8.9288799999999995</v>
      </c>
      <c r="D192" s="63"/>
      <c r="E192" s="63"/>
      <c r="F192" s="63"/>
      <c r="G192" s="64" t="s">
        <v>8</v>
      </c>
      <c r="H192" s="10"/>
      <c r="I192" s="17"/>
      <c r="J192" s="17"/>
      <c r="K192" s="18"/>
      <c r="L192" s="2"/>
      <c r="M192" s="11"/>
      <c r="N192" s="11"/>
      <c r="O192" s="11"/>
      <c r="P192" s="11"/>
      <c r="Q192" s="1"/>
      <c r="R192" s="10"/>
      <c r="S192" s="10"/>
      <c r="T192" s="10"/>
      <c r="U192" s="10"/>
      <c r="V192" s="10"/>
      <c r="W192" s="5"/>
      <c r="X192" s="5"/>
      <c r="Y192" s="5"/>
      <c r="Z192" s="5"/>
    </row>
    <row r="193" spans="1:26" ht="13.2" x14ac:dyDescent="0.25">
      <c r="A193" s="70" t="s">
        <v>184</v>
      </c>
      <c r="B193" s="67">
        <v>73</v>
      </c>
      <c r="C193" s="68">
        <f>2034.1/1000</f>
        <v>2.0341</v>
      </c>
      <c r="D193" s="68"/>
      <c r="E193" s="68"/>
      <c r="F193" s="68"/>
      <c r="G193" s="69" t="s">
        <v>8</v>
      </c>
      <c r="H193" s="10"/>
      <c r="I193" s="17"/>
      <c r="J193" s="17"/>
      <c r="K193" s="18"/>
      <c r="L193" s="2"/>
      <c r="M193" s="11"/>
      <c r="N193" s="11"/>
      <c r="O193" s="11"/>
      <c r="P193" s="11"/>
      <c r="Q193" s="1"/>
      <c r="R193" s="10"/>
      <c r="S193" s="10"/>
      <c r="T193" s="10"/>
      <c r="U193" s="10"/>
      <c r="V193" s="10"/>
      <c r="W193" s="5"/>
      <c r="X193" s="5"/>
      <c r="Y193" s="5"/>
      <c r="Z193" s="5"/>
    </row>
    <row r="194" spans="1:26" ht="13.2" x14ac:dyDescent="0.25">
      <c r="A194" s="65" t="s">
        <v>185</v>
      </c>
      <c r="B194" s="62">
        <v>80</v>
      </c>
      <c r="C194" s="63">
        <f>12457.7/1000</f>
        <v>12.457700000000001</v>
      </c>
      <c r="D194" s="63"/>
      <c r="E194" s="63"/>
      <c r="F194" s="63"/>
      <c r="G194" s="64" t="s">
        <v>8</v>
      </c>
      <c r="H194" s="10"/>
      <c r="I194" s="17"/>
      <c r="J194" s="17"/>
      <c r="K194" s="18"/>
      <c r="L194" s="2"/>
      <c r="M194" s="11"/>
      <c r="N194" s="11"/>
      <c r="O194" s="11"/>
      <c r="P194" s="11"/>
      <c r="Q194" s="1"/>
      <c r="R194" s="10"/>
      <c r="S194" s="10"/>
      <c r="T194" s="10"/>
      <c r="U194" s="10"/>
      <c r="V194" s="10"/>
      <c r="W194" s="5"/>
      <c r="X194" s="5"/>
      <c r="Y194" s="5"/>
      <c r="Z194" s="5"/>
    </row>
    <row r="195" spans="1:26" ht="13.2" x14ac:dyDescent="0.25">
      <c r="A195" s="70" t="s">
        <v>186</v>
      </c>
      <c r="B195" s="67">
        <v>88</v>
      </c>
      <c r="C195" s="68">
        <f>10266.21/1000</f>
        <v>10.266209999999999</v>
      </c>
      <c r="D195" s="68"/>
      <c r="E195" s="68"/>
      <c r="F195" s="68"/>
      <c r="G195" s="69" t="s">
        <v>8</v>
      </c>
      <c r="H195" s="10"/>
      <c r="I195" s="17"/>
      <c r="J195" s="17"/>
      <c r="K195" s="18"/>
      <c r="L195" s="2"/>
      <c r="M195" s="11"/>
      <c r="N195" s="11"/>
      <c r="O195" s="11"/>
      <c r="P195" s="11"/>
      <c r="Q195" s="1"/>
      <c r="R195" s="10"/>
      <c r="S195" s="10"/>
      <c r="T195" s="10"/>
      <c r="U195" s="10"/>
      <c r="V195" s="10"/>
      <c r="W195" s="5"/>
      <c r="X195" s="5"/>
      <c r="Y195" s="5"/>
      <c r="Z195" s="5"/>
    </row>
    <row r="196" spans="1:26" ht="13.2" x14ac:dyDescent="0.25">
      <c r="A196" s="65" t="s">
        <v>187</v>
      </c>
      <c r="B196" s="62">
        <v>100</v>
      </c>
      <c r="C196" s="63">
        <f>20032.34/1000</f>
        <v>20.032340000000001</v>
      </c>
      <c r="D196" s="63"/>
      <c r="E196" s="63"/>
      <c r="F196" s="63"/>
      <c r="G196" s="64" t="s">
        <v>8</v>
      </c>
      <c r="H196" s="10"/>
      <c r="I196" s="17"/>
      <c r="J196" s="17"/>
      <c r="K196" s="18"/>
      <c r="L196" s="2"/>
      <c r="M196" s="11"/>
      <c r="N196" s="11"/>
      <c r="O196" s="11"/>
      <c r="P196" s="11"/>
      <c r="Q196" s="1"/>
      <c r="R196" s="10"/>
      <c r="S196" s="10"/>
      <c r="T196" s="10"/>
      <c r="U196" s="10"/>
      <c r="V196" s="10"/>
      <c r="W196" s="5"/>
      <c r="X196" s="5"/>
      <c r="Y196" s="5"/>
      <c r="Z196" s="5"/>
    </row>
    <row r="197" spans="1:26" ht="13.2" x14ac:dyDescent="0.25">
      <c r="A197" s="70" t="s">
        <v>188</v>
      </c>
      <c r="B197" s="67">
        <v>97</v>
      </c>
      <c r="C197" s="68">
        <f>29956.8/1000</f>
        <v>29.956799999999998</v>
      </c>
      <c r="D197" s="68"/>
      <c r="E197" s="68"/>
      <c r="F197" s="68"/>
      <c r="G197" s="69" t="s">
        <v>8</v>
      </c>
      <c r="H197" s="10"/>
      <c r="I197" s="17"/>
      <c r="J197" s="17"/>
      <c r="K197" s="18"/>
      <c r="L197" s="2"/>
      <c r="M197" s="11"/>
      <c r="N197" s="11"/>
      <c r="O197" s="11"/>
      <c r="P197" s="11"/>
      <c r="Q197" s="1"/>
      <c r="R197" s="10"/>
      <c r="S197" s="10"/>
      <c r="T197" s="10"/>
      <c r="U197" s="10"/>
      <c r="V197" s="10"/>
      <c r="W197" s="5"/>
      <c r="X197" s="5"/>
      <c r="Y197" s="5"/>
      <c r="Z197" s="5"/>
    </row>
    <row r="198" spans="1:26" ht="13.2" x14ac:dyDescent="0.25">
      <c r="A198" s="65" t="s">
        <v>189</v>
      </c>
      <c r="B198" s="62">
        <v>101</v>
      </c>
      <c r="C198" s="63">
        <f>3808.1/1000</f>
        <v>3.8081</v>
      </c>
      <c r="D198" s="63"/>
      <c r="E198" s="63"/>
      <c r="F198" s="63"/>
      <c r="G198" s="64" t="s">
        <v>8</v>
      </c>
      <c r="H198" s="10"/>
      <c r="I198" s="17"/>
      <c r="J198" s="17"/>
      <c r="K198" s="18"/>
      <c r="L198" s="2"/>
      <c r="M198" s="11"/>
      <c r="N198" s="11"/>
      <c r="O198" s="11"/>
      <c r="P198" s="11"/>
      <c r="Q198" s="1"/>
      <c r="R198" s="10"/>
      <c r="S198" s="10"/>
      <c r="T198" s="10"/>
      <c r="U198" s="10"/>
      <c r="V198" s="10"/>
      <c r="W198" s="5"/>
      <c r="X198" s="5"/>
      <c r="Y198" s="5"/>
      <c r="Z198" s="5"/>
    </row>
    <row r="199" spans="1:26" ht="13.2" x14ac:dyDescent="0.25">
      <c r="A199" s="70" t="s">
        <v>190</v>
      </c>
      <c r="B199" s="67">
        <v>70</v>
      </c>
      <c r="C199" s="68">
        <f>5020.8/1000</f>
        <v>5.0208000000000004</v>
      </c>
      <c r="D199" s="68"/>
      <c r="E199" s="68"/>
      <c r="F199" s="68"/>
      <c r="G199" s="69" t="s">
        <v>8</v>
      </c>
      <c r="H199" s="10"/>
      <c r="I199" s="17"/>
      <c r="J199" s="17"/>
      <c r="K199" s="18"/>
      <c r="L199" s="2"/>
      <c r="M199" s="11"/>
      <c r="N199" s="11"/>
      <c r="O199" s="11"/>
      <c r="P199" s="11"/>
      <c r="Q199" s="1"/>
      <c r="R199" s="10"/>
      <c r="S199" s="10"/>
      <c r="T199" s="10"/>
      <c r="U199" s="10"/>
      <c r="V199" s="10"/>
      <c r="W199" s="5"/>
      <c r="X199" s="5"/>
      <c r="Y199" s="5"/>
      <c r="Z199" s="5"/>
    </row>
    <row r="200" spans="1:26" ht="13.2" x14ac:dyDescent="0.25">
      <c r="A200" s="65" t="s">
        <v>191</v>
      </c>
      <c r="B200" s="62">
        <v>79</v>
      </c>
      <c r="C200" s="63">
        <f>42455.3/1000</f>
        <v>42.455300000000001</v>
      </c>
      <c r="D200" s="63"/>
      <c r="E200" s="63"/>
      <c r="F200" s="63"/>
      <c r="G200" s="64" t="s">
        <v>8</v>
      </c>
      <c r="H200" s="10"/>
      <c r="I200" s="17"/>
      <c r="J200" s="17"/>
      <c r="K200" s="18"/>
      <c r="L200" s="2"/>
      <c r="M200" s="11"/>
      <c r="N200" s="11"/>
      <c r="O200" s="11"/>
      <c r="P200" s="11"/>
      <c r="Q200" s="1"/>
      <c r="R200" s="10"/>
      <c r="S200" s="10"/>
      <c r="T200" s="10"/>
      <c r="U200" s="10"/>
      <c r="V200" s="10"/>
      <c r="W200" s="5"/>
      <c r="X200" s="5"/>
      <c r="Y200" s="5"/>
      <c r="Z200" s="5"/>
    </row>
    <row r="201" spans="1:26" ht="13.2" x14ac:dyDescent="0.25">
      <c r="A201" s="70" t="s">
        <v>192</v>
      </c>
      <c r="B201" s="67">
        <v>73</v>
      </c>
      <c r="C201" s="68">
        <f>27665.7/1000</f>
        <v>27.665700000000001</v>
      </c>
      <c r="D201" s="68"/>
      <c r="E201" s="68"/>
      <c r="F201" s="68"/>
      <c r="G201" s="69" t="s">
        <v>8</v>
      </c>
      <c r="H201" s="10"/>
      <c r="I201" s="17"/>
      <c r="J201" s="17"/>
      <c r="K201" s="18"/>
      <c r="L201" s="2"/>
      <c r="M201" s="11"/>
      <c r="N201" s="11"/>
      <c r="O201" s="11"/>
      <c r="P201" s="11"/>
      <c r="Q201" s="1"/>
      <c r="R201" s="10"/>
      <c r="S201" s="10"/>
      <c r="T201" s="10"/>
      <c r="U201" s="10"/>
      <c r="V201" s="10"/>
      <c r="W201" s="5"/>
      <c r="X201" s="5"/>
      <c r="Y201" s="5"/>
      <c r="Z201" s="5"/>
    </row>
    <row r="202" spans="1:26" ht="13.2" x14ac:dyDescent="0.25">
      <c r="A202" s="65" t="s">
        <v>193</v>
      </c>
      <c r="B202" s="62">
        <v>82</v>
      </c>
      <c r="C202" s="63">
        <f>7062.6/1000</f>
        <v>7.0626000000000007</v>
      </c>
      <c r="D202" s="63"/>
      <c r="E202" s="63"/>
      <c r="F202" s="63"/>
      <c r="G202" s="64" t="s">
        <v>8</v>
      </c>
      <c r="H202" s="10"/>
      <c r="I202" s="17"/>
      <c r="J202" s="17"/>
      <c r="K202" s="18"/>
      <c r="L202" s="2"/>
      <c r="M202" s="11"/>
      <c r="N202" s="11"/>
      <c r="O202" s="11"/>
      <c r="P202" s="11"/>
      <c r="Q202" s="1"/>
      <c r="R202" s="10"/>
      <c r="S202" s="10"/>
      <c r="T202" s="10"/>
      <c r="U202" s="10"/>
      <c r="V202" s="10"/>
      <c r="W202" s="5"/>
      <c r="X202" s="5"/>
      <c r="Y202" s="5"/>
      <c r="Z202" s="5"/>
    </row>
    <row r="203" spans="1:26" ht="13.2" x14ac:dyDescent="0.25">
      <c r="A203" s="70" t="s">
        <v>194</v>
      </c>
      <c r="B203" s="67">
        <v>121</v>
      </c>
      <c r="C203" s="68">
        <f>11542.1/1000</f>
        <v>11.5421</v>
      </c>
      <c r="D203" s="68"/>
      <c r="E203" s="68"/>
      <c r="F203" s="68"/>
      <c r="G203" s="69" t="s">
        <v>8</v>
      </c>
      <c r="H203" s="10"/>
      <c r="I203" s="17"/>
      <c r="J203" s="17"/>
      <c r="K203" s="18"/>
      <c r="L203" s="2"/>
      <c r="M203" s="11"/>
      <c r="N203" s="11"/>
      <c r="O203" s="11"/>
      <c r="P203" s="11"/>
      <c r="Q203" s="1"/>
      <c r="R203" s="10"/>
      <c r="S203" s="10"/>
      <c r="T203" s="10"/>
      <c r="U203" s="10"/>
      <c r="V203" s="10"/>
      <c r="W203" s="5"/>
      <c r="X203" s="5"/>
      <c r="Y203" s="5"/>
      <c r="Z203" s="5"/>
    </row>
    <row r="204" spans="1:26" ht="13.2" x14ac:dyDescent="0.25">
      <c r="A204" s="56">
        <v>2000</v>
      </c>
      <c r="B204" s="57"/>
      <c r="C204" s="58"/>
      <c r="D204" s="58"/>
      <c r="E204" s="58"/>
      <c r="F204" s="58"/>
      <c r="G204" s="59"/>
      <c r="H204" s="10"/>
      <c r="I204" s="17"/>
      <c r="J204" s="17"/>
      <c r="K204" s="18"/>
      <c r="L204" s="2"/>
      <c r="M204" s="11"/>
      <c r="N204" s="11"/>
      <c r="O204" s="11"/>
      <c r="P204" s="11"/>
      <c r="Q204" s="1"/>
      <c r="R204" s="10"/>
      <c r="S204" s="10"/>
      <c r="T204" s="10"/>
      <c r="U204" s="10"/>
      <c r="V204" s="10"/>
      <c r="W204" s="6"/>
      <c r="X204" s="6"/>
      <c r="Y204" s="6"/>
      <c r="Z204" s="6"/>
    </row>
    <row r="205" spans="1:26" ht="13.2" x14ac:dyDescent="0.25">
      <c r="A205" s="65" t="s">
        <v>195</v>
      </c>
      <c r="B205" s="62">
        <v>93</v>
      </c>
      <c r="C205" s="74">
        <f>10682.2/1000</f>
        <v>10.6822</v>
      </c>
      <c r="D205" s="63"/>
      <c r="E205" s="63"/>
      <c r="F205" s="75"/>
      <c r="G205" s="76" t="s">
        <v>8</v>
      </c>
      <c r="H205" s="10"/>
      <c r="I205" s="17"/>
      <c r="J205" s="17"/>
      <c r="K205" s="18"/>
      <c r="L205" s="2"/>
      <c r="M205" s="11"/>
      <c r="N205" s="11"/>
      <c r="O205" s="11"/>
      <c r="P205" s="11"/>
      <c r="Q205" s="1"/>
      <c r="R205" s="10"/>
      <c r="S205" s="10"/>
      <c r="T205" s="10"/>
      <c r="U205" s="10"/>
      <c r="V205" s="10"/>
      <c r="W205" s="6"/>
      <c r="X205" s="6"/>
      <c r="Y205" s="6"/>
      <c r="Z205" s="6"/>
    </row>
    <row r="206" spans="1:26" ht="13.2" x14ac:dyDescent="0.25">
      <c r="A206" s="70" t="s">
        <v>196</v>
      </c>
      <c r="B206" s="67">
        <v>98</v>
      </c>
      <c r="C206" s="80">
        <f>50057.4/1000</f>
        <v>50.057400000000001</v>
      </c>
      <c r="D206" s="68"/>
      <c r="E206" s="68"/>
      <c r="F206" s="81"/>
      <c r="G206" s="82" t="s">
        <v>8</v>
      </c>
      <c r="H206" s="10"/>
      <c r="I206" s="17"/>
      <c r="J206" s="17"/>
      <c r="K206" s="18"/>
      <c r="L206" s="2"/>
      <c r="M206" s="11"/>
      <c r="N206" s="11"/>
      <c r="O206" s="11"/>
      <c r="P206" s="11"/>
      <c r="Q206" s="1"/>
      <c r="R206" s="10"/>
      <c r="S206" s="10"/>
      <c r="T206" s="10"/>
      <c r="U206" s="10"/>
      <c r="V206" s="10"/>
      <c r="W206" s="6"/>
      <c r="X206" s="6"/>
      <c r="Y206" s="6"/>
      <c r="Z206" s="6"/>
    </row>
    <row r="207" spans="1:26" ht="13.2" x14ac:dyDescent="0.25">
      <c r="A207" s="65" t="s">
        <v>197</v>
      </c>
      <c r="B207" s="62">
        <v>101</v>
      </c>
      <c r="C207" s="74">
        <f>24440.8/1000</f>
        <v>24.440799999999999</v>
      </c>
      <c r="D207" s="63"/>
      <c r="E207" s="63"/>
      <c r="F207" s="75"/>
      <c r="G207" s="76" t="s">
        <v>8</v>
      </c>
      <c r="H207" s="10"/>
      <c r="I207" s="17"/>
      <c r="J207" s="17"/>
      <c r="K207" s="18"/>
      <c r="L207" s="2"/>
      <c r="M207" s="11"/>
      <c r="N207" s="11"/>
      <c r="O207" s="11"/>
      <c r="P207" s="11"/>
      <c r="Q207" s="1"/>
      <c r="R207" s="10"/>
      <c r="S207" s="10"/>
      <c r="T207" s="10"/>
      <c r="U207" s="10"/>
      <c r="V207" s="10"/>
      <c r="W207" s="6"/>
      <c r="X207" s="6"/>
      <c r="Y207" s="6"/>
      <c r="Z207" s="6"/>
    </row>
    <row r="208" spans="1:26" ht="13.2" x14ac:dyDescent="0.25">
      <c r="A208" s="70" t="s">
        <v>198</v>
      </c>
      <c r="B208" s="67">
        <v>78</v>
      </c>
      <c r="C208" s="80">
        <f>7966.9/1000</f>
        <v>7.9668999999999999</v>
      </c>
      <c r="D208" s="68"/>
      <c r="E208" s="68"/>
      <c r="F208" s="81"/>
      <c r="G208" s="82" t="s">
        <v>8</v>
      </c>
      <c r="H208" s="10"/>
      <c r="I208" s="17"/>
      <c r="J208" s="17"/>
      <c r="K208" s="18"/>
      <c r="L208" s="2"/>
      <c r="M208" s="11"/>
      <c r="N208" s="11"/>
      <c r="O208" s="11"/>
      <c r="P208" s="11"/>
      <c r="Q208" s="1"/>
      <c r="R208" s="10"/>
      <c r="S208" s="10"/>
      <c r="T208" s="10"/>
      <c r="U208" s="10"/>
      <c r="V208" s="10"/>
      <c r="W208" s="6"/>
      <c r="X208" s="6"/>
      <c r="Y208" s="6"/>
      <c r="Z208" s="6"/>
    </row>
    <row r="209" spans="1:26" ht="13.2" x14ac:dyDescent="0.25">
      <c r="A209" s="65" t="s">
        <v>199</v>
      </c>
      <c r="B209" s="62">
        <v>117</v>
      </c>
      <c r="C209" s="74">
        <f>7991.9/1000</f>
        <v>7.9918999999999993</v>
      </c>
      <c r="D209" s="63"/>
      <c r="E209" s="63"/>
      <c r="F209" s="75"/>
      <c r="G209" s="76" t="s">
        <v>8</v>
      </c>
      <c r="H209" s="10"/>
      <c r="I209" s="17"/>
      <c r="J209" s="17"/>
      <c r="K209" s="18"/>
      <c r="L209" s="2"/>
      <c r="M209" s="11"/>
      <c r="N209" s="11"/>
      <c r="O209" s="11"/>
      <c r="P209" s="11"/>
      <c r="Q209" s="1"/>
      <c r="R209" s="10"/>
      <c r="S209" s="10"/>
      <c r="T209" s="10"/>
      <c r="U209" s="10"/>
      <c r="V209" s="10"/>
      <c r="W209" s="6"/>
      <c r="X209" s="6"/>
      <c r="Y209" s="6"/>
      <c r="Z209" s="6"/>
    </row>
    <row r="210" spans="1:26" ht="13.2" x14ac:dyDescent="0.25">
      <c r="A210" s="70" t="s">
        <v>200</v>
      </c>
      <c r="B210" s="67">
        <v>109</v>
      </c>
      <c r="C210" s="80">
        <f>9343.8/1000</f>
        <v>9.3437999999999999</v>
      </c>
      <c r="D210" s="68"/>
      <c r="E210" s="68"/>
      <c r="F210" s="81"/>
      <c r="G210" s="82" t="s">
        <v>8</v>
      </c>
      <c r="H210" s="10"/>
      <c r="I210" s="17"/>
      <c r="J210" s="17"/>
      <c r="K210" s="18"/>
      <c r="L210" s="2"/>
      <c r="M210" s="11"/>
      <c r="N210" s="11"/>
      <c r="O210" s="11"/>
      <c r="P210" s="11"/>
      <c r="Q210" s="1"/>
      <c r="R210" s="10"/>
      <c r="S210" s="10"/>
      <c r="T210" s="10"/>
      <c r="U210" s="10"/>
      <c r="V210" s="10"/>
      <c r="W210" s="6"/>
      <c r="X210" s="6"/>
      <c r="Y210" s="6"/>
      <c r="Z210" s="6"/>
    </row>
    <row r="211" spans="1:26" ht="13.2" x14ac:dyDescent="0.25">
      <c r="A211" s="65" t="s">
        <v>201</v>
      </c>
      <c r="B211" s="62">
        <v>76</v>
      </c>
      <c r="C211" s="74">
        <f>7567.1/1000</f>
        <v>7.5670999999999999</v>
      </c>
      <c r="D211" s="63"/>
      <c r="E211" s="63"/>
      <c r="F211" s="75"/>
      <c r="G211" s="76" t="s">
        <v>8</v>
      </c>
      <c r="H211" s="10"/>
      <c r="I211" s="17"/>
      <c r="J211" s="17"/>
      <c r="K211" s="18"/>
      <c r="L211" s="2"/>
      <c r="M211" s="11"/>
      <c r="N211" s="11"/>
      <c r="O211" s="11"/>
      <c r="P211" s="11"/>
      <c r="Q211" s="1"/>
      <c r="R211" s="10"/>
      <c r="S211" s="10"/>
      <c r="T211" s="10"/>
      <c r="U211" s="10"/>
      <c r="V211" s="10"/>
      <c r="W211" s="6"/>
      <c r="X211" s="6"/>
      <c r="Y211" s="6"/>
      <c r="Z211" s="6"/>
    </row>
    <row r="212" spans="1:26" ht="13.2" x14ac:dyDescent="0.25">
      <c r="A212" s="70" t="s">
        <v>202</v>
      </c>
      <c r="B212" s="67">
        <v>92</v>
      </c>
      <c r="C212" s="80">
        <f>13134/1000</f>
        <v>13.134</v>
      </c>
      <c r="D212" s="68"/>
      <c r="E212" s="68"/>
      <c r="F212" s="81"/>
      <c r="G212" s="82" t="s">
        <v>8</v>
      </c>
      <c r="H212" s="10"/>
      <c r="I212" s="17"/>
      <c r="J212" s="17"/>
      <c r="K212" s="18"/>
      <c r="L212" s="2"/>
      <c r="M212" s="11"/>
      <c r="N212" s="11"/>
      <c r="O212" s="11"/>
      <c r="P212" s="11"/>
      <c r="Q212" s="1"/>
      <c r="R212" s="10"/>
      <c r="S212" s="10"/>
      <c r="T212" s="10"/>
      <c r="U212" s="10"/>
      <c r="V212" s="10"/>
      <c r="W212" s="6"/>
      <c r="X212" s="6"/>
      <c r="Y212" s="6"/>
      <c r="Z212" s="6"/>
    </row>
    <row r="213" spans="1:26" ht="13.2" x14ac:dyDescent="0.25">
      <c r="A213" s="65" t="s">
        <v>203</v>
      </c>
      <c r="B213" s="62">
        <v>67</v>
      </c>
      <c r="C213" s="74">
        <f>8406.7/1000</f>
        <v>8.4067000000000007</v>
      </c>
      <c r="D213" s="63"/>
      <c r="E213" s="63"/>
      <c r="F213" s="75"/>
      <c r="G213" s="76" t="s">
        <v>8</v>
      </c>
      <c r="H213" s="10"/>
      <c r="I213" s="17"/>
      <c r="J213" s="17"/>
      <c r="K213" s="18"/>
      <c r="L213" s="2"/>
      <c r="M213" s="11"/>
      <c r="N213" s="11"/>
      <c r="O213" s="11"/>
      <c r="P213" s="11"/>
      <c r="Q213" s="1"/>
      <c r="R213" s="10"/>
      <c r="S213" s="10"/>
      <c r="T213" s="10"/>
      <c r="U213" s="10"/>
      <c r="V213" s="10"/>
      <c r="W213" s="6"/>
      <c r="X213" s="6"/>
      <c r="Y213" s="6"/>
      <c r="Z213" s="6"/>
    </row>
    <row r="214" spans="1:26" ht="13.2" x14ac:dyDescent="0.25">
      <c r="A214" s="70" t="s">
        <v>204</v>
      </c>
      <c r="B214" s="67">
        <v>82</v>
      </c>
      <c r="C214" s="80">
        <f>5183.9/1000</f>
        <v>5.1838999999999995</v>
      </c>
      <c r="D214" s="68"/>
      <c r="E214" s="68"/>
      <c r="F214" s="81"/>
      <c r="G214" s="82" t="s">
        <v>8</v>
      </c>
      <c r="H214" s="10"/>
      <c r="I214" s="17"/>
      <c r="J214" s="17"/>
      <c r="K214" s="18"/>
      <c r="L214" s="2"/>
      <c r="M214" s="11"/>
      <c r="N214" s="11"/>
      <c r="O214" s="11"/>
      <c r="P214" s="11"/>
      <c r="Q214" s="1"/>
      <c r="R214" s="10"/>
      <c r="S214" s="10"/>
      <c r="T214" s="10"/>
      <c r="U214" s="10"/>
      <c r="V214" s="10"/>
      <c r="W214" s="6"/>
      <c r="X214" s="6"/>
      <c r="Y214" s="6"/>
      <c r="Z214" s="6"/>
    </row>
    <row r="215" spans="1:26" ht="13.2" x14ac:dyDescent="0.25">
      <c r="A215" s="65" t="s">
        <v>205</v>
      </c>
      <c r="B215" s="62">
        <v>91</v>
      </c>
      <c r="C215" s="74">
        <f>11275.03/1000</f>
        <v>11.275030000000001</v>
      </c>
      <c r="D215" s="63"/>
      <c r="E215" s="63"/>
      <c r="F215" s="75"/>
      <c r="G215" s="76" t="s">
        <v>8</v>
      </c>
      <c r="H215" s="10"/>
      <c r="I215" s="17"/>
      <c r="J215" s="17"/>
      <c r="K215" s="18"/>
      <c r="L215" s="2"/>
      <c r="M215" s="11"/>
      <c r="N215" s="11"/>
      <c r="O215" s="11"/>
      <c r="P215" s="11"/>
      <c r="Q215" s="1"/>
      <c r="R215" s="10"/>
      <c r="S215" s="10"/>
      <c r="T215" s="10"/>
      <c r="U215" s="10"/>
      <c r="V215" s="10"/>
      <c r="W215" s="6"/>
      <c r="X215" s="6"/>
      <c r="Y215" s="6"/>
      <c r="Z215" s="6"/>
    </row>
    <row r="216" spans="1:26" ht="13.2" x14ac:dyDescent="0.25">
      <c r="A216" s="70" t="s">
        <v>206</v>
      </c>
      <c r="B216" s="67">
        <v>133</v>
      </c>
      <c r="C216" s="80">
        <f>10033.34/1000</f>
        <v>10.033340000000001</v>
      </c>
      <c r="D216" s="68"/>
      <c r="E216" s="68"/>
      <c r="F216" s="81"/>
      <c r="G216" s="82" t="s">
        <v>8</v>
      </c>
      <c r="H216" s="10"/>
      <c r="I216" s="17"/>
      <c r="J216" s="17"/>
      <c r="K216" s="18"/>
      <c r="L216" s="2"/>
      <c r="M216" s="11"/>
      <c r="N216" s="11"/>
      <c r="O216" s="11"/>
      <c r="P216" s="11"/>
      <c r="Q216" s="1"/>
      <c r="R216" s="10"/>
      <c r="S216" s="10"/>
      <c r="T216" s="10"/>
      <c r="U216" s="10"/>
      <c r="V216" s="10"/>
      <c r="W216" s="6"/>
      <c r="X216" s="6"/>
      <c r="Y216" s="6"/>
      <c r="Z216" s="6"/>
    </row>
    <row r="217" spans="1:26" ht="13.2" x14ac:dyDescent="0.25">
      <c r="A217" s="56">
        <v>2001</v>
      </c>
      <c r="B217" s="57"/>
      <c r="C217" s="58"/>
      <c r="D217" s="58"/>
      <c r="E217" s="58"/>
      <c r="F217" s="58"/>
      <c r="G217" s="59"/>
      <c r="H217" s="10"/>
      <c r="I217" s="17"/>
      <c r="J217" s="17"/>
      <c r="K217" s="18"/>
      <c r="L217" s="2"/>
      <c r="M217" s="11"/>
      <c r="N217" s="11"/>
      <c r="O217" s="11"/>
      <c r="P217" s="11"/>
      <c r="Q217" s="1"/>
      <c r="R217" s="10"/>
      <c r="S217" s="10"/>
      <c r="T217" s="10"/>
      <c r="U217" s="10"/>
      <c r="V217" s="10"/>
      <c r="W217" s="6"/>
      <c r="X217" s="6"/>
      <c r="Y217" s="6"/>
      <c r="Z217" s="6"/>
    </row>
    <row r="218" spans="1:26" ht="13.2" x14ac:dyDescent="0.25">
      <c r="A218" s="77">
        <v>45292</v>
      </c>
      <c r="B218" s="62">
        <v>113</v>
      </c>
      <c r="C218" s="78">
        <f>14961.9/1000</f>
        <v>14.9619</v>
      </c>
      <c r="D218" s="63"/>
      <c r="E218" s="75"/>
      <c r="F218" s="63"/>
      <c r="G218" s="76" t="s">
        <v>8</v>
      </c>
      <c r="H218" s="10"/>
      <c r="I218" s="17"/>
      <c r="J218" s="17"/>
      <c r="K218" s="18"/>
      <c r="L218" s="2"/>
      <c r="M218" s="11"/>
      <c r="N218" s="11"/>
      <c r="O218" s="11"/>
      <c r="P218" s="11"/>
      <c r="Q218" s="1"/>
      <c r="R218" s="10"/>
      <c r="S218" s="10"/>
      <c r="T218" s="10"/>
      <c r="U218" s="10"/>
      <c r="V218" s="10"/>
      <c r="W218" s="6"/>
      <c r="X218" s="6"/>
      <c r="Y218" s="6"/>
      <c r="Z218" s="6"/>
    </row>
    <row r="219" spans="1:26" ht="13.2" x14ac:dyDescent="0.25">
      <c r="A219" s="83">
        <v>45323</v>
      </c>
      <c r="B219" s="67">
        <v>122</v>
      </c>
      <c r="C219" s="84">
        <f>7316.8/1000</f>
        <v>7.3167999999999997</v>
      </c>
      <c r="D219" s="68"/>
      <c r="E219" s="81"/>
      <c r="F219" s="68"/>
      <c r="G219" s="82" t="s">
        <v>8</v>
      </c>
      <c r="H219" s="10"/>
      <c r="I219" s="17"/>
      <c r="J219" s="17"/>
      <c r="K219" s="18"/>
      <c r="L219" s="2"/>
      <c r="M219" s="11"/>
      <c r="N219" s="11"/>
      <c r="O219" s="11"/>
      <c r="P219" s="11"/>
      <c r="Q219" s="1"/>
      <c r="R219" s="10"/>
      <c r="S219" s="10"/>
      <c r="T219" s="10"/>
      <c r="U219" s="10"/>
      <c r="V219" s="10"/>
      <c r="W219" s="6"/>
      <c r="X219" s="6"/>
      <c r="Y219" s="6"/>
      <c r="Z219" s="6"/>
    </row>
    <row r="220" spans="1:26" ht="13.2" x14ac:dyDescent="0.25">
      <c r="A220" s="77">
        <v>45352</v>
      </c>
      <c r="B220" s="62">
        <v>142</v>
      </c>
      <c r="C220" s="78">
        <f>8004.4/1000</f>
        <v>8.0044000000000004</v>
      </c>
      <c r="D220" s="63"/>
      <c r="E220" s="75"/>
      <c r="F220" s="63"/>
      <c r="G220" s="76" t="s">
        <v>8</v>
      </c>
      <c r="H220" s="10"/>
      <c r="I220" s="17"/>
      <c r="J220" s="17"/>
      <c r="K220" s="18"/>
      <c r="L220" s="2"/>
      <c r="M220" s="11"/>
      <c r="N220" s="11"/>
      <c r="O220" s="11"/>
      <c r="P220" s="11"/>
      <c r="Q220" s="1"/>
      <c r="R220" s="10"/>
      <c r="S220" s="10"/>
      <c r="T220" s="10"/>
      <c r="U220" s="10"/>
      <c r="V220" s="10"/>
      <c r="W220" s="6"/>
      <c r="X220" s="6"/>
      <c r="Y220" s="6"/>
      <c r="Z220" s="6"/>
    </row>
    <row r="221" spans="1:26" ht="13.2" x14ac:dyDescent="0.25">
      <c r="A221" s="83">
        <v>45383</v>
      </c>
      <c r="B221" s="67">
        <v>125</v>
      </c>
      <c r="C221" s="84">
        <f>22555.7/1000</f>
        <v>22.555700000000002</v>
      </c>
      <c r="D221" s="68"/>
      <c r="E221" s="81"/>
      <c r="F221" s="68"/>
      <c r="G221" s="82" t="s">
        <v>8</v>
      </c>
      <c r="H221" s="10"/>
      <c r="I221" s="17"/>
      <c r="J221" s="17"/>
      <c r="K221" s="18"/>
      <c r="L221" s="2"/>
      <c r="M221" s="11"/>
      <c r="N221" s="11"/>
      <c r="O221" s="11"/>
      <c r="P221" s="11"/>
      <c r="Q221" s="1"/>
      <c r="R221" s="10"/>
      <c r="S221" s="10"/>
      <c r="T221" s="10"/>
      <c r="U221" s="10"/>
      <c r="V221" s="10"/>
      <c r="W221" s="6"/>
      <c r="X221" s="6"/>
      <c r="Y221" s="6"/>
      <c r="Z221" s="6"/>
    </row>
    <row r="222" spans="1:26" ht="13.2" x14ac:dyDescent="0.25">
      <c r="A222" s="79">
        <v>45413</v>
      </c>
      <c r="B222" s="62">
        <v>127</v>
      </c>
      <c r="C222" s="78">
        <f>29658.8/1000</f>
        <v>29.658799999999999</v>
      </c>
      <c r="D222" s="63"/>
      <c r="E222" s="75"/>
      <c r="F222" s="63"/>
      <c r="G222" s="76" t="s">
        <v>8</v>
      </c>
      <c r="H222" s="10"/>
      <c r="I222" s="17"/>
      <c r="J222" s="17"/>
      <c r="K222" s="18"/>
      <c r="L222" s="2"/>
      <c r="M222" s="11"/>
      <c r="N222" s="11"/>
      <c r="O222" s="11"/>
      <c r="P222" s="11"/>
      <c r="Q222" s="1"/>
      <c r="R222" s="10"/>
      <c r="S222" s="10"/>
      <c r="T222" s="10"/>
      <c r="U222" s="10"/>
      <c r="V222" s="10"/>
      <c r="W222" s="6"/>
      <c r="X222" s="6"/>
      <c r="Y222" s="6"/>
      <c r="Z222" s="6"/>
    </row>
    <row r="223" spans="1:26" ht="13.2" x14ac:dyDescent="0.25">
      <c r="A223" s="83">
        <v>45444</v>
      </c>
      <c r="B223" s="67">
        <v>127</v>
      </c>
      <c r="C223" s="84">
        <f>4121.5/1000</f>
        <v>4.1215000000000002</v>
      </c>
      <c r="D223" s="68"/>
      <c r="E223" s="81"/>
      <c r="F223" s="68"/>
      <c r="G223" s="82" t="s">
        <v>8</v>
      </c>
      <c r="H223" s="10"/>
      <c r="I223" s="17"/>
      <c r="J223" s="17"/>
      <c r="K223" s="18"/>
      <c r="L223" s="2"/>
      <c r="M223" s="11"/>
      <c r="N223" s="11"/>
      <c r="O223" s="11"/>
      <c r="P223" s="11"/>
      <c r="Q223" s="1"/>
      <c r="R223" s="10"/>
      <c r="S223" s="10"/>
      <c r="T223" s="10"/>
      <c r="U223" s="10"/>
      <c r="V223" s="10"/>
      <c r="W223" s="6"/>
      <c r="X223" s="6"/>
      <c r="Y223" s="6"/>
      <c r="Z223" s="6"/>
    </row>
    <row r="224" spans="1:26" ht="13.2" x14ac:dyDescent="0.25">
      <c r="A224" s="77">
        <v>45474</v>
      </c>
      <c r="B224" s="62">
        <v>136</v>
      </c>
      <c r="C224" s="78">
        <f>17255.1/1000</f>
        <v>17.255099999999999</v>
      </c>
      <c r="D224" s="63"/>
      <c r="E224" s="75"/>
      <c r="F224" s="63"/>
      <c r="G224" s="76" t="s">
        <v>8</v>
      </c>
      <c r="H224" s="10"/>
      <c r="I224" s="17"/>
      <c r="J224" s="17"/>
      <c r="K224" s="18"/>
      <c r="L224" s="2"/>
      <c r="M224" s="11"/>
      <c r="N224" s="11"/>
      <c r="O224" s="11"/>
      <c r="P224" s="11"/>
      <c r="Q224" s="1"/>
      <c r="R224" s="10"/>
      <c r="S224" s="10"/>
      <c r="T224" s="10"/>
      <c r="U224" s="10"/>
      <c r="V224" s="10"/>
      <c r="W224" s="6"/>
      <c r="X224" s="6"/>
      <c r="Y224" s="6"/>
      <c r="Z224" s="6"/>
    </row>
    <row r="225" spans="1:26" ht="13.2" x14ac:dyDescent="0.25">
      <c r="A225" s="83">
        <v>45505</v>
      </c>
      <c r="B225" s="67">
        <v>125</v>
      </c>
      <c r="C225" s="84">
        <f>11504.8/1000</f>
        <v>11.504799999999999</v>
      </c>
      <c r="D225" s="68"/>
      <c r="E225" s="81"/>
      <c r="F225" s="68"/>
      <c r="G225" s="82" t="s">
        <v>8</v>
      </c>
      <c r="H225" s="10"/>
      <c r="I225" s="17"/>
      <c r="J225" s="17"/>
      <c r="K225" s="18"/>
      <c r="L225" s="2"/>
      <c r="M225" s="11"/>
      <c r="N225" s="11"/>
      <c r="O225" s="11"/>
      <c r="P225" s="11"/>
      <c r="Q225" s="1"/>
      <c r="R225" s="10"/>
      <c r="S225" s="10"/>
      <c r="T225" s="10"/>
      <c r="U225" s="10"/>
      <c r="V225" s="10"/>
      <c r="W225" s="6"/>
      <c r="X225" s="6"/>
      <c r="Y225" s="6"/>
      <c r="Z225" s="6"/>
    </row>
    <row r="226" spans="1:26" ht="13.2" x14ac:dyDescent="0.25">
      <c r="A226" s="77">
        <v>45536</v>
      </c>
      <c r="B226" s="62">
        <v>94</v>
      </c>
      <c r="C226" s="78">
        <f>14424.5/1000</f>
        <v>14.4245</v>
      </c>
      <c r="D226" s="63"/>
      <c r="E226" s="75"/>
      <c r="F226" s="63"/>
      <c r="G226" s="76" t="s">
        <v>8</v>
      </c>
      <c r="H226" s="10"/>
      <c r="I226" s="17"/>
      <c r="J226" s="17"/>
      <c r="K226" s="18"/>
      <c r="L226" s="2"/>
      <c r="M226" s="11"/>
      <c r="N226" s="11"/>
      <c r="O226" s="11"/>
      <c r="P226" s="11"/>
      <c r="Q226" s="1"/>
      <c r="R226" s="10"/>
      <c r="S226" s="10"/>
      <c r="T226" s="10"/>
      <c r="U226" s="10"/>
      <c r="V226" s="10"/>
      <c r="W226" s="6"/>
      <c r="X226" s="6"/>
      <c r="Y226" s="6"/>
      <c r="Z226" s="6"/>
    </row>
    <row r="227" spans="1:26" ht="13.2" x14ac:dyDescent="0.25">
      <c r="A227" s="83">
        <v>45566</v>
      </c>
      <c r="B227" s="67">
        <v>128</v>
      </c>
      <c r="C227" s="84">
        <f>7685.4/1000</f>
        <v>7.6853999999999996</v>
      </c>
      <c r="D227" s="68"/>
      <c r="E227" s="81"/>
      <c r="F227" s="68"/>
      <c r="G227" s="82" t="s">
        <v>8</v>
      </c>
      <c r="H227" s="10"/>
      <c r="I227" s="17"/>
      <c r="J227" s="17"/>
      <c r="K227" s="18"/>
      <c r="L227" s="2"/>
      <c r="M227" s="11"/>
      <c r="N227" s="11"/>
      <c r="O227" s="11"/>
      <c r="P227" s="11"/>
      <c r="Q227" s="1"/>
      <c r="R227" s="10"/>
      <c r="S227" s="10"/>
      <c r="T227" s="10"/>
      <c r="U227" s="10"/>
      <c r="V227" s="10"/>
      <c r="W227" s="6"/>
      <c r="X227" s="6"/>
      <c r="Y227" s="6"/>
      <c r="Z227" s="6"/>
    </row>
    <row r="228" spans="1:26" ht="13.2" x14ac:dyDescent="0.25">
      <c r="A228" s="77">
        <v>45597</v>
      </c>
      <c r="B228" s="62">
        <v>109</v>
      </c>
      <c r="C228" s="78">
        <f>3602.2/1000</f>
        <v>3.6021999999999998</v>
      </c>
      <c r="D228" s="63"/>
      <c r="E228" s="75"/>
      <c r="F228" s="63"/>
      <c r="G228" s="76" t="s">
        <v>8</v>
      </c>
      <c r="H228" s="10"/>
      <c r="I228" s="17"/>
      <c r="J228" s="17"/>
      <c r="K228" s="18"/>
      <c r="L228" s="2"/>
      <c r="M228" s="11"/>
      <c r="N228" s="11"/>
      <c r="O228" s="11"/>
      <c r="P228" s="11"/>
      <c r="Q228" s="1"/>
      <c r="R228" s="10"/>
      <c r="S228" s="10"/>
      <c r="T228" s="10"/>
      <c r="U228" s="10"/>
      <c r="V228" s="10"/>
      <c r="W228" s="6"/>
      <c r="X228" s="6"/>
      <c r="Y228" s="6"/>
      <c r="Z228" s="6"/>
    </row>
    <row r="229" spans="1:26" ht="13.2" x14ac:dyDescent="0.25">
      <c r="A229" s="83">
        <v>45627</v>
      </c>
      <c r="B229" s="67">
        <v>181</v>
      </c>
      <c r="C229" s="84">
        <f>6878.6/1000</f>
        <v>6.8786000000000005</v>
      </c>
      <c r="D229" s="68"/>
      <c r="E229" s="81"/>
      <c r="F229" s="68"/>
      <c r="G229" s="82" t="s">
        <v>8</v>
      </c>
      <c r="H229" s="10"/>
      <c r="I229" s="17"/>
      <c r="J229" s="17"/>
      <c r="K229" s="18"/>
      <c r="L229" s="2"/>
      <c r="M229" s="11"/>
      <c r="N229" s="11"/>
      <c r="O229" s="11"/>
      <c r="P229" s="11"/>
      <c r="Q229" s="1"/>
      <c r="R229" s="10"/>
      <c r="S229" s="10"/>
      <c r="T229" s="10"/>
      <c r="U229" s="10"/>
      <c r="V229" s="10"/>
      <c r="W229" s="6"/>
      <c r="X229" s="6"/>
      <c r="Y229" s="6"/>
      <c r="Z229" s="6"/>
    </row>
    <row r="230" spans="1:26" ht="13.2" x14ac:dyDescent="0.25">
      <c r="A230" s="56">
        <v>2002</v>
      </c>
      <c r="B230" s="57"/>
      <c r="C230" s="58"/>
      <c r="D230" s="58"/>
      <c r="E230" s="58"/>
      <c r="F230" s="58"/>
      <c r="G230" s="59"/>
      <c r="H230" s="10"/>
      <c r="I230" s="17"/>
      <c r="J230" s="17"/>
      <c r="K230" s="18"/>
      <c r="L230" s="2"/>
      <c r="M230" s="11"/>
      <c r="N230" s="11"/>
      <c r="O230" s="11"/>
      <c r="P230" s="11"/>
      <c r="Q230" s="1"/>
      <c r="R230" s="10"/>
      <c r="S230" s="10"/>
      <c r="T230" s="10"/>
      <c r="U230" s="10"/>
      <c r="V230" s="10"/>
      <c r="W230" s="6"/>
      <c r="X230" s="6"/>
      <c r="Y230" s="6"/>
      <c r="Z230" s="6"/>
    </row>
    <row r="231" spans="1:26" ht="13.2" x14ac:dyDescent="0.25">
      <c r="A231" s="85" t="s">
        <v>207</v>
      </c>
      <c r="B231" s="62">
        <v>106</v>
      </c>
      <c r="C231" s="78">
        <f>16313.51/1000</f>
        <v>16.313510000000001</v>
      </c>
      <c r="D231" s="63"/>
      <c r="E231" s="63"/>
      <c r="F231" s="75"/>
      <c r="G231" s="76" t="s">
        <v>8</v>
      </c>
      <c r="H231" s="10"/>
      <c r="I231" s="17"/>
      <c r="J231" s="17"/>
      <c r="K231" s="18"/>
      <c r="L231" s="2"/>
      <c r="M231" s="11"/>
      <c r="N231" s="11"/>
      <c r="O231" s="11"/>
      <c r="P231" s="11"/>
      <c r="Q231" s="1"/>
      <c r="R231" s="10"/>
      <c r="S231" s="10"/>
      <c r="T231" s="10"/>
      <c r="U231" s="10"/>
      <c r="V231" s="10"/>
      <c r="W231" s="6"/>
      <c r="X231" s="6"/>
      <c r="Y231" s="6"/>
      <c r="Z231" s="6"/>
    </row>
    <row r="232" spans="1:26" ht="13.2" x14ac:dyDescent="0.25">
      <c r="A232" s="88" t="s">
        <v>208</v>
      </c>
      <c r="B232" s="67">
        <v>84</v>
      </c>
      <c r="C232" s="84">
        <f>8427/1000</f>
        <v>8.4269999999999996</v>
      </c>
      <c r="D232" s="68"/>
      <c r="E232" s="68"/>
      <c r="F232" s="81"/>
      <c r="G232" s="82" t="s">
        <v>8</v>
      </c>
      <c r="H232" s="10"/>
      <c r="I232" s="17"/>
      <c r="J232" s="17"/>
      <c r="K232" s="18"/>
      <c r="L232" s="2"/>
      <c r="M232" s="11"/>
      <c r="N232" s="11"/>
      <c r="O232" s="11"/>
      <c r="P232" s="11"/>
      <c r="Q232" s="1"/>
      <c r="R232" s="10"/>
      <c r="S232" s="10"/>
      <c r="T232" s="10"/>
      <c r="U232" s="10"/>
      <c r="V232" s="10"/>
      <c r="W232" s="6"/>
      <c r="X232" s="6"/>
      <c r="Y232" s="6"/>
      <c r="Z232" s="6"/>
    </row>
    <row r="233" spans="1:26" ht="13.2" x14ac:dyDescent="0.25">
      <c r="A233" s="85" t="s">
        <v>209</v>
      </c>
      <c r="B233" s="62">
        <v>122</v>
      </c>
      <c r="C233" s="78">
        <f>17483/1000</f>
        <v>17.483000000000001</v>
      </c>
      <c r="D233" s="63"/>
      <c r="E233" s="63"/>
      <c r="F233" s="75"/>
      <c r="G233" s="76" t="s">
        <v>8</v>
      </c>
      <c r="H233" s="10"/>
      <c r="I233" s="17"/>
      <c r="J233" s="17"/>
      <c r="K233" s="18"/>
      <c r="L233" s="2"/>
      <c r="M233" s="11"/>
      <c r="N233" s="11"/>
      <c r="O233" s="11"/>
      <c r="P233" s="11"/>
      <c r="Q233" s="1"/>
      <c r="R233" s="10"/>
      <c r="S233" s="10"/>
      <c r="T233" s="10"/>
      <c r="U233" s="10"/>
      <c r="V233" s="10"/>
      <c r="W233" s="6"/>
      <c r="X233" s="6"/>
      <c r="Y233" s="6"/>
      <c r="Z233" s="6"/>
    </row>
    <row r="234" spans="1:26" ht="13.2" x14ac:dyDescent="0.25">
      <c r="A234" s="88" t="s">
        <v>210</v>
      </c>
      <c r="B234" s="67">
        <v>121</v>
      </c>
      <c r="C234" s="84">
        <f>5452.9/1000</f>
        <v>5.4528999999999996</v>
      </c>
      <c r="D234" s="68"/>
      <c r="E234" s="68"/>
      <c r="F234" s="81"/>
      <c r="G234" s="82" t="s">
        <v>8</v>
      </c>
      <c r="H234" s="10"/>
      <c r="I234" s="17"/>
      <c r="J234" s="17"/>
      <c r="K234" s="18"/>
      <c r="L234" s="2"/>
      <c r="M234" s="11"/>
      <c r="N234" s="11"/>
      <c r="O234" s="11"/>
      <c r="P234" s="11"/>
      <c r="Q234" s="1"/>
      <c r="R234" s="10"/>
      <c r="S234" s="10"/>
      <c r="T234" s="10"/>
      <c r="U234" s="10"/>
      <c r="V234" s="10"/>
      <c r="W234" s="6"/>
      <c r="X234" s="6"/>
      <c r="Y234" s="6"/>
      <c r="Z234" s="6"/>
    </row>
    <row r="235" spans="1:26" ht="13.2" x14ac:dyDescent="0.25">
      <c r="A235" s="85" t="s">
        <v>211</v>
      </c>
      <c r="B235" s="62">
        <v>122</v>
      </c>
      <c r="C235" s="78">
        <f>23890.41/1000</f>
        <v>23.890409999999999</v>
      </c>
      <c r="D235" s="63"/>
      <c r="E235" s="63"/>
      <c r="F235" s="75"/>
      <c r="G235" s="76" t="s">
        <v>8</v>
      </c>
      <c r="H235" s="10"/>
      <c r="I235" s="17"/>
      <c r="J235" s="17"/>
      <c r="K235" s="18"/>
      <c r="L235" s="2"/>
      <c r="M235" s="11"/>
      <c r="N235" s="11"/>
      <c r="O235" s="11"/>
      <c r="P235" s="11"/>
      <c r="Q235" s="1"/>
      <c r="R235" s="10"/>
      <c r="S235" s="10"/>
      <c r="T235" s="10"/>
      <c r="U235" s="10"/>
      <c r="V235" s="10"/>
      <c r="W235" s="6"/>
      <c r="X235" s="6"/>
      <c r="Y235" s="6"/>
      <c r="Z235" s="6"/>
    </row>
    <row r="236" spans="1:26" ht="13.2" x14ac:dyDescent="0.25">
      <c r="A236" s="88" t="s">
        <v>212</v>
      </c>
      <c r="B236" s="67">
        <v>104</v>
      </c>
      <c r="C236" s="84">
        <f>9613/1000</f>
        <v>9.6129999999999995</v>
      </c>
      <c r="D236" s="68"/>
      <c r="E236" s="68"/>
      <c r="F236" s="81"/>
      <c r="G236" s="82" t="s">
        <v>8</v>
      </c>
      <c r="H236" s="10"/>
      <c r="I236" s="17"/>
      <c r="J236" s="17"/>
      <c r="K236" s="18"/>
      <c r="L236" s="2"/>
      <c r="M236" s="11"/>
      <c r="N236" s="11"/>
      <c r="O236" s="11"/>
      <c r="P236" s="11"/>
      <c r="Q236" s="1"/>
      <c r="R236" s="10"/>
      <c r="S236" s="10"/>
      <c r="T236" s="10"/>
      <c r="U236" s="10"/>
      <c r="V236" s="10"/>
      <c r="W236" s="6"/>
      <c r="X236" s="6"/>
      <c r="Y236" s="6"/>
      <c r="Z236" s="6"/>
    </row>
    <row r="237" spans="1:26" ht="13.2" x14ac:dyDescent="0.25">
      <c r="A237" s="85" t="s">
        <v>213</v>
      </c>
      <c r="B237" s="62">
        <v>101</v>
      </c>
      <c r="C237" s="78">
        <f>16513.4/1000</f>
        <v>16.513400000000001</v>
      </c>
      <c r="D237" s="63"/>
      <c r="E237" s="63"/>
      <c r="F237" s="75"/>
      <c r="G237" s="76" t="s">
        <v>8</v>
      </c>
      <c r="H237" s="10"/>
      <c r="I237" s="17"/>
      <c r="J237" s="17"/>
      <c r="K237" s="18"/>
      <c r="L237" s="2"/>
      <c r="M237" s="11"/>
      <c r="N237" s="11"/>
      <c r="O237" s="11"/>
      <c r="P237" s="11"/>
      <c r="Q237" s="1"/>
      <c r="R237" s="10"/>
      <c r="S237" s="10"/>
      <c r="T237" s="10"/>
      <c r="U237" s="10"/>
      <c r="V237" s="10"/>
      <c r="W237" s="6"/>
      <c r="X237" s="6"/>
      <c r="Y237" s="6"/>
      <c r="Z237" s="6"/>
    </row>
    <row r="238" spans="1:26" ht="13.2" x14ac:dyDescent="0.25">
      <c r="A238" s="88" t="s">
        <v>214</v>
      </c>
      <c r="B238" s="67">
        <v>98</v>
      </c>
      <c r="C238" s="84">
        <f>5497.3/1000</f>
        <v>5.4973000000000001</v>
      </c>
      <c r="D238" s="68"/>
      <c r="E238" s="68"/>
      <c r="F238" s="81"/>
      <c r="G238" s="82" t="s">
        <v>8</v>
      </c>
      <c r="H238" s="10"/>
      <c r="I238" s="17"/>
      <c r="J238" s="17"/>
      <c r="K238" s="18"/>
      <c r="L238" s="2"/>
      <c r="M238" s="11"/>
      <c r="N238" s="11"/>
      <c r="O238" s="11"/>
      <c r="P238" s="11"/>
      <c r="Q238" s="1"/>
      <c r="R238" s="10"/>
      <c r="S238" s="10"/>
      <c r="T238" s="10"/>
      <c r="U238" s="10"/>
      <c r="V238" s="10"/>
      <c r="W238" s="6"/>
      <c r="X238" s="6"/>
      <c r="Y238" s="6"/>
      <c r="Z238" s="6"/>
    </row>
    <row r="239" spans="1:26" ht="13.2" x14ac:dyDescent="0.25">
      <c r="A239" s="85" t="s">
        <v>215</v>
      </c>
      <c r="B239" s="62">
        <v>104</v>
      </c>
      <c r="C239" s="78">
        <f>5443.9/1000</f>
        <v>5.4438999999999993</v>
      </c>
      <c r="D239" s="63"/>
      <c r="E239" s="63"/>
      <c r="F239" s="75"/>
      <c r="G239" s="76" t="s">
        <v>8</v>
      </c>
      <c r="H239" s="10"/>
      <c r="I239" s="17"/>
      <c r="J239" s="17"/>
      <c r="K239" s="18"/>
      <c r="L239" s="2"/>
      <c r="M239" s="11"/>
      <c r="N239" s="11"/>
      <c r="O239" s="11"/>
      <c r="P239" s="11"/>
      <c r="Q239" s="1"/>
      <c r="R239" s="10"/>
      <c r="S239" s="10"/>
      <c r="T239" s="10"/>
      <c r="U239" s="10"/>
      <c r="V239" s="10"/>
      <c r="W239" s="6"/>
      <c r="X239" s="6"/>
      <c r="Y239" s="6"/>
      <c r="Z239" s="6"/>
    </row>
    <row r="240" spans="1:26" ht="13.2" x14ac:dyDescent="0.25">
      <c r="A240" s="88" t="s">
        <v>216</v>
      </c>
      <c r="B240" s="67">
        <v>119</v>
      </c>
      <c r="C240" s="84">
        <f>11119.6/1000</f>
        <v>11.1196</v>
      </c>
      <c r="D240" s="68"/>
      <c r="E240" s="68"/>
      <c r="F240" s="81"/>
      <c r="G240" s="82" t="s">
        <v>8</v>
      </c>
      <c r="H240" s="10"/>
      <c r="I240" s="17"/>
      <c r="J240" s="17"/>
      <c r="K240" s="18"/>
      <c r="L240" s="2"/>
      <c r="M240" s="11"/>
      <c r="N240" s="11"/>
      <c r="O240" s="11"/>
      <c r="P240" s="11"/>
      <c r="Q240" s="1"/>
      <c r="R240" s="10"/>
      <c r="S240" s="10"/>
      <c r="T240" s="10"/>
      <c r="U240" s="10"/>
      <c r="V240" s="10"/>
      <c r="W240" s="6"/>
      <c r="X240" s="6"/>
      <c r="Y240" s="6"/>
      <c r="Z240" s="6"/>
    </row>
    <row r="241" spans="1:26" ht="13.2" x14ac:dyDescent="0.25">
      <c r="A241" s="85" t="s">
        <v>217</v>
      </c>
      <c r="B241" s="62">
        <v>108</v>
      </c>
      <c r="C241" s="78">
        <f>8996.5/1000</f>
        <v>8.9964999999999993</v>
      </c>
      <c r="D241" s="63"/>
      <c r="E241" s="63"/>
      <c r="F241" s="75"/>
      <c r="G241" s="76" t="s">
        <v>8</v>
      </c>
      <c r="H241" s="10"/>
      <c r="I241" s="17"/>
      <c r="J241" s="17"/>
      <c r="K241" s="18"/>
      <c r="L241" s="2"/>
      <c r="M241" s="11"/>
      <c r="N241" s="11"/>
      <c r="O241" s="11"/>
      <c r="P241" s="11"/>
      <c r="Q241" s="1"/>
      <c r="R241" s="10"/>
      <c r="S241" s="10"/>
      <c r="T241" s="10"/>
      <c r="U241" s="10"/>
      <c r="V241" s="10"/>
      <c r="W241" s="6"/>
      <c r="X241" s="6"/>
      <c r="Y241" s="6"/>
      <c r="Z241" s="6"/>
    </row>
    <row r="242" spans="1:26" ht="13.2" x14ac:dyDescent="0.25">
      <c r="A242" s="88" t="s">
        <v>218</v>
      </c>
      <c r="B242" s="67">
        <v>170</v>
      </c>
      <c r="C242" s="84">
        <f>2827.5/1000</f>
        <v>2.8275000000000001</v>
      </c>
      <c r="D242" s="68"/>
      <c r="E242" s="68"/>
      <c r="F242" s="81"/>
      <c r="G242" s="82" t="s">
        <v>8</v>
      </c>
      <c r="H242" s="10"/>
      <c r="I242" s="17"/>
      <c r="J242" s="17"/>
      <c r="K242" s="18"/>
      <c r="L242" s="2"/>
      <c r="M242" s="11"/>
      <c r="N242" s="11"/>
      <c r="O242" s="11"/>
      <c r="P242" s="11"/>
      <c r="Q242" s="1"/>
      <c r="R242" s="10"/>
      <c r="S242" s="10"/>
      <c r="T242" s="10"/>
      <c r="U242" s="10"/>
      <c r="V242" s="10"/>
      <c r="W242" s="6"/>
      <c r="X242" s="6"/>
      <c r="Y242" s="6"/>
      <c r="Z242" s="6"/>
    </row>
    <row r="243" spans="1:26" ht="13.2" x14ac:dyDescent="0.25">
      <c r="A243" s="56">
        <v>2003</v>
      </c>
      <c r="B243" s="57"/>
      <c r="C243" s="58"/>
      <c r="D243" s="58"/>
      <c r="E243" s="58"/>
      <c r="F243" s="58"/>
      <c r="G243" s="59"/>
      <c r="K243" s="18"/>
      <c r="L243" s="2"/>
      <c r="M243" s="11"/>
      <c r="N243" s="11"/>
      <c r="O243" s="11"/>
      <c r="P243" s="11"/>
      <c r="Q243" s="1"/>
    </row>
    <row r="244" spans="1:26" ht="13.2" x14ac:dyDescent="0.25">
      <c r="A244" s="85" t="s">
        <v>219</v>
      </c>
      <c r="B244" s="86">
        <v>94</v>
      </c>
      <c r="C244" s="78">
        <f>12853/1000</f>
        <v>12.853</v>
      </c>
      <c r="D244" s="87"/>
      <c r="E244" s="87"/>
      <c r="F244" s="87"/>
      <c r="G244" s="64" t="s">
        <v>8</v>
      </c>
      <c r="K244" s="18"/>
      <c r="L244" s="2"/>
      <c r="M244" s="11"/>
      <c r="N244" s="11"/>
      <c r="O244" s="11"/>
      <c r="P244" s="11"/>
      <c r="Q244" s="1"/>
    </row>
    <row r="245" spans="1:26" ht="13.2" x14ac:dyDescent="0.25">
      <c r="A245" s="88" t="s">
        <v>220</v>
      </c>
      <c r="B245" s="89">
        <v>103</v>
      </c>
      <c r="C245" s="84">
        <f>27048.7/1000</f>
        <v>27.0487</v>
      </c>
      <c r="D245" s="90"/>
      <c r="E245" s="90"/>
      <c r="F245" s="90"/>
      <c r="G245" s="69" t="s">
        <v>8</v>
      </c>
      <c r="K245" s="18"/>
      <c r="L245" s="2"/>
      <c r="M245" s="11"/>
      <c r="N245" s="11"/>
      <c r="O245" s="11"/>
      <c r="P245" s="11"/>
      <c r="Q245" s="1"/>
    </row>
    <row r="246" spans="1:26" ht="13.2" x14ac:dyDescent="0.25">
      <c r="A246" s="85" t="s">
        <v>221</v>
      </c>
      <c r="B246" s="86">
        <v>90</v>
      </c>
      <c r="C246" s="78">
        <f>6226.3/1000</f>
        <v>6.2263000000000002</v>
      </c>
      <c r="D246" s="87"/>
      <c r="E246" s="87"/>
      <c r="F246" s="87"/>
      <c r="G246" s="64" t="s">
        <v>8</v>
      </c>
      <c r="K246" s="18"/>
      <c r="L246" s="2"/>
      <c r="M246" s="11"/>
      <c r="N246" s="11"/>
      <c r="O246" s="11"/>
      <c r="P246" s="11"/>
      <c r="Q246" s="1"/>
    </row>
    <row r="247" spans="1:26" ht="13.2" x14ac:dyDescent="0.25">
      <c r="A247" s="88" t="s">
        <v>222</v>
      </c>
      <c r="B247" s="89">
        <v>99</v>
      </c>
      <c r="C247" s="84">
        <f>9630.3/1000</f>
        <v>9.6303000000000001</v>
      </c>
      <c r="D247" s="90"/>
      <c r="E247" s="90"/>
      <c r="F247" s="90"/>
      <c r="G247" s="69" t="s">
        <v>8</v>
      </c>
      <c r="K247" s="18"/>
      <c r="L247" s="2"/>
      <c r="M247" s="11"/>
      <c r="N247" s="11"/>
      <c r="O247" s="11"/>
      <c r="P247" s="11"/>
      <c r="Q247" s="1"/>
    </row>
    <row r="248" spans="1:26" ht="13.2" x14ac:dyDescent="0.25">
      <c r="A248" s="85" t="s">
        <v>223</v>
      </c>
      <c r="B248" s="86">
        <v>94</v>
      </c>
      <c r="C248" s="78">
        <f>9969/1000</f>
        <v>9.9689999999999994</v>
      </c>
      <c r="D248" s="87"/>
      <c r="E248" s="87"/>
      <c r="F248" s="87"/>
      <c r="G248" s="64" t="s">
        <v>8</v>
      </c>
      <c r="K248" s="18"/>
      <c r="L248" s="2"/>
      <c r="M248" s="11"/>
      <c r="N248" s="11"/>
      <c r="O248" s="11"/>
      <c r="P248" s="11"/>
      <c r="Q248" s="1"/>
    </row>
    <row r="249" spans="1:26" ht="13.2" x14ac:dyDescent="0.25">
      <c r="A249" s="88" t="s">
        <v>224</v>
      </c>
      <c r="B249" s="89">
        <v>107</v>
      </c>
      <c r="C249" s="84">
        <f>8530.52/1000</f>
        <v>8.530520000000001</v>
      </c>
      <c r="D249" s="90"/>
      <c r="E249" s="90"/>
      <c r="F249" s="90"/>
      <c r="G249" s="69" t="s">
        <v>8</v>
      </c>
      <c r="K249" s="18"/>
      <c r="L249" s="2"/>
      <c r="M249" s="11"/>
      <c r="N249" s="11"/>
      <c r="O249" s="11"/>
      <c r="P249" s="11"/>
      <c r="Q249" s="1"/>
    </row>
    <row r="250" spans="1:26" ht="13.2" x14ac:dyDescent="0.25">
      <c r="A250" s="85" t="s">
        <v>225</v>
      </c>
      <c r="B250" s="86">
        <v>133</v>
      </c>
      <c r="C250" s="78">
        <f>11803.79/1000</f>
        <v>11.803790000000001</v>
      </c>
      <c r="D250" s="87"/>
      <c r="E250" s="87"/>
      <c r="F250" s="87"/>
      <c r="G250" s="64" t="s">
        <v>8</v>
      </c>
      <c r="K250" s="18"/>
      <c r="L250" s="2"/>
      <c r="M250" s="11"/>
      <c r="N250" s="11"/>
      <c r="O250" s="11"/>
      <c r="P250" s="11"/>
      <c r="Q250" s="1"/>
    </row>
    <row r="251" spans="1:26" ht="13.2" x14ac:dyDescent="0.25">
      <c r="A251" s="88" t="s">
        <v>226</v>
      </c>
      <c r="B251" s="89">
        <v>81</v>
      </c>
      <c r="C251" s="84">
        <f>5071.8/1000</f>
        <v>5.0718000000000005</v>
      </c>
      <c r="D251" s="90"/>
      <c r="E251" s="90"/>
      <c r="F251" s="90"/>
      <c r="G251" s="69" t="s">
        <v>8</v>
      </c>
      <c r="K251" s="18"/>
      <c r="L251" s="2"/>
      <c r="M251" s="11"/>
      <c r="N251" s="11"/>
      <c r="O251" s="11"/>
      <c r="P251" s="11"/>
      <c r="Q251" s="1"/>
    </row>
    <row r="252" spans="1:26" ht="13.2" x14ac:dyDescent="0.25">
      <c r="A252" s="85" t="s">
        <v>227</v>
      </c>
      <c r="B252" s="86">
        <v>123</v>
      </c>
      <c r="C252" s="78">
        <f>7888.8/1000</f>
        <v>7.8887999999999998</v>
      </c>
      <c r="D252" s="87"/>
      <c r="E252" s="87"/>
      <c r="F252" s="87"/>
      <c r="G252" s="64" t="s">
        <v>8</v>
      </c>
      <c r="K252" s="18"/>
      <c r="L252" s="2"/>
      <c r="M252" s="11"/>
      <c r="N252" s="11"/>
      <c r="O252" s="11"/>
      <c r="P252" s="11"/>
      <c r="Q252" s="1"/>
    </row>
    <row r="253" spans="1:26" ht="13.2" x14ac:dyDescent="0.25">
      <c r="A253" s="88" t="s">
        <v>228</v>
      </c>
      <c r="B253" s="89">
        <v>143</v>
      </c>
      <c r="C253" s="84">
        <f>9442.4/1000</f>
        <v>9.4423999999999992</v>
      </c>
      <c r="D253" s="90"/>
      <c r="E253" s="90"/>
      <c r="F253" s="90"/>
      <c r="G253" s="69" t="s">
        <v>8</v>
      </c>
      <c r="K253" s="18"/>
      <c r="L253" s="2"/>
      <c r="M253" s="11"/>
      <c r="N253" s="11"/>
      <c r="O253" s="11"/>
      <c r="P253" s="11"/>
      <c r="Q253" s="1"/>
    </row>
    <row r="254" spans="1:26" ht="13.2" x14ac:dyDescent="0.25">
      <c r="A254" s="85" t="s">
        <v>229</v>
      </c>
      <c r="B254" s="86">
        <v>126</v>
      </c>
      <c r="C254" s="78">
        <f>13962/1000</f>
        <v>13.962</v>
      </c>
      <c r="D254" s="87"/>
      <c r="E254" s="87"/>
      <c r="F254" s="87"/>
      <c r="G254" s="64" t="s">
        <v>8</v>
      </c>
      <c r="K254" s="18"/>
      <c r="L254" s="2"/>
      <c r="M254" s="11"/>
      <c r="N254" s="11"/>
      <c r="O254" s="11"/>
      <c r="P254" s="11"/>
      <c r="Q254" s="1"/>
    </row>
    <row r="255" spans="1:26" ht="13.2" x14ac:dyDescent="0.25">
      <c r="A255" s="88" t="s">
        <v>230</v>
      </c>
      <c r="B255" s="89">
        <v>239</v>
      </c>
      <c r="C255" s="84">
        <f>11253.8/1000</f>
        <v>11.2538</v>
      </c>
      <c r="D255" s="90">
        <f ca="1">IFERROR(__xludf.DUMMYFUNCTION("C249*IMPORTRANGE(""https://docs.google.com/spreadsheets/d/1xsp01RMmkav9iTy39Zaj_7tE9677EGlOJ14KU9TZn7I/"",""2003-2017!H25"")"),9.133133928)</f>
        <v>9.1331339279999995</v>
      </c>
      <c r="E255" s="90">
        <f ca="1">IFERROR(__xludf.DUMMYFUNCTION("D249*IMPORTRANGE(""https://docs.google.com/spreadsheets/d/1xsp01RMmkav9iTy39Zaj_7tE9677EGlOJ14KU9TZn7I/"",""2003-2017!t25"")"),5.20643432699568)</f>
        <v>5.2064343269956801</v>
      </c>
      <c r="F255" s="90">
        <f ca="1">IFERROR(__xludf.DUMMYFUNCTION("E249*IMPORTRANGE(""https://docs.google.com/spreadsheets/d/1xsp01RMmkav9iTy39Zaj_7tE9677EGlOJ14KU9TZn7I/"",""2003-2017!AC25"")"),559.743764908174)</f>
        <v>559.74376490817394</v>
      </c>
      <c r="G255" s="69" t="s">
        <v>8</v>
      </c>
      <c r="K255" s="18"/>
      <c r="L255" s="2"/>
      <c r="M255" s="11"/>
      <c r="N255" s="11"/>
      <c r="O255" s="11"/>
      <c r="P255" s="11"/>
      <c r="Q255" s="1"/>
    </row>
    <row r="256" spans="1:26" ht="13.2" x14ac:dyDescent="0.25">
      <c r="A256" s="56">
        <v>2004</v>
      </c>
      <c r="B256" s="57"/>
      <c r="C256" s="60"/>
      <c r="D256" s="60"/>
      <c r="E256" s="60"/>
      <c r="F256" s="60"/>
      <c r="G256" s="59"/>
      <c r="K256" s="18"/>
      <c r="L256" s="2"/>
      <c r="M256" s="11"/>
      <c r="N256" s="11"/>
      <c r="O256" s="11"/>
      <c r="P256" s="11"/>
      <c r="Q256" s="1"/>
    </row>
    <row r="257" spans="1:17" ht="13.2" x14ac:dyDescent="0.25">
      <c r="A257" s="85" t="s">
        <v>231</v>
      </c>
      <c r="B257" s="86">
        <v>123</v>
      </c>
      <c r="C257" s="78">
        <f>6651.5/1000</f>
        <v>6.6515000000000004</v>
      </c>
      <c r="D257" s="87">
        <f ca="1">IFERROR(__xludf.DUMMYFUNCTION("C251*IMPORTRANGE(""https://docs.google.com/spreadsheets/d/1xsp01RMmkav9iTy39Zaj_7tE9677EGlOJ14KU9TZn7I/"",""2003-2017!H49"")"),5.27104769)</f>
        <v>5.2710476899999996</v>
      </c>
      <c r="E257" s="87">
        <f ca="1">IFERROR(__xludf.DUMMYFUNCTION("C251*IMPORTRANGE(""https://docs.google.com/spreadsheets/d/1xsp01RMmkav9iTy39Zaj_7tE9677EGlOJ14KU9TZn7I/"",""2003-2017!t49"")"),3.6481814625)</f>
        <v>3.6481814625000002</v>
      </c>
      <c r="F257" s="87">
        <f ca="1">IFERROR(__xludf.DUMMYFUNCTION("C251*IMPORTRANGE(""https://docs.google.com/spreadsheets/d/1xsp01RMmkav9iTy39Zaj_7tE9677EGlOJ14KU9TZn7I/"",""2003-2017!AC49"")"),706.75511587125)</f>
        <v>706.75511587125004</v>
      </c>
      <c r="G257" s="64" t="s">
        <v>8</v>
      </c>
      <c r="K257" s="18"/>
      <c r="L257" s="2"/>
      <c r="M257" s="11"/>
      <c r="N257" s="11"/>
      <c r="O257" s="11"/>
      <c r="P257" s="11"/>
      <c r="Q257" s="1"/>
    </row>
    <row r="258" spans="1:17" ht="13.2" x14ac:dyDescent="0.25">
      <c r="A258" s="88" t="s">
        <v>232</v>
      </c>
      <c r="B258" s="89">
        <v>89</v>
      </c>
      <c r="C258" s="84">
        <f>4839.1/1000</f>
        <v>4.8391000000000002</v>
      </c>
      <c r="D258" s="90">
        <f ca="1">IFERROR(__xludf.DUMMYFUNCTION("C252*IMPORTRANGE(""https://docs.google.com/spreadsheets/d/1xsp01RMmkav9iTy39Zaj_7tE9677EGlOJ14KU9TZn7I/"",""2003-2017!H70"")"),3.815872305)</f>
        <v>3.8158723050000001</v>
      </c>
      <c r="E258" s="90">
        <f ca="1">IFERROR(__xludf.DUMMYFUNCTION("C252*IMPORTRANGE(""https://docs.google.com/spreadsheets/d/1xsp01RMmkav9iTy39Zaj_7tE9677EGlOJ14KU9TZn7I/"",""2003-2017!T70"")"),2.589208846)</f>
        <v>2.589208846</v>
      </c>
      <c r="F258" s="90">
        <f ca="1">IFERROR(__xludf.DUMMYFUNCTION("C252*IMPORTRANGE(""https://docs.google.com/spreadsheets/d/1xsp01RMmkav9iTy39Zaj_7tE9677EGlOJ14KU9TZn7I/"",""2003-2017!AC70"")"),511.1299375)</f>
        <v>511.12993749999998</v>
      </c>
      <c r="G258" s="69" t="s">
        <v>8</v>
      </c>
      <c r="K258" s="18"/>
      <c r="L258" s="2"/>
      <c r="M258" s="11"/>
      <c r="N258" s="11"/>
      <c r="O258" s="11"/>
      <c r="P258" s="11"/>
      <c r="Q258" s="1"/>
    </row>
    <row r="259" spans="1:17" ht="13.2" x14ac:dyDescent="0.25">
      <c r="A259" s="85" t="s">
        <v>233</v>
      </c>
      <c r="B259" s="86">
        <v>131</v>
      </c>
      <c r="C259" s="78">
        <f>10742.4/1000</f>
        <v>10.7424</v>
      </c>
      <c r="D259" s="87">
        <f ca="1">IFERROR(__xludf.DUMMYFUNCTION("C253*IMPORTRANGE(""https://docs.google.com/spreadsheets/d/1xsp01RMmkav9iTy39Zaj_7tE9677EGlOJ14KU9TZn7I/"",""2003-2017!H94"")"),8.761394016)</f>
        <v>8.7613940160000006</v>
      </c>
      <c r="E259" s="87">
        <f ca="1">IFERROR(__xludf.DUMMYFUNCTION("C253*IMPORTRANGE(""https://docs.google.com/spreadsheets/d/1xsp01RMmkav9iTy39Zaj_7tE9677EGlOJ14KU9TZn7I/"",""2003-2017!T94"")"),5.882753088)</f>
        <v>5.8827530880000003</v>
      </c>
      <c r="F259" s="87">
        <f ca="1">IFERROR(__xludf.DUMMYFUNCTION("E253*IMPORTRANGE(""https://docs.google.com/spreadsheets/d/1xsp01RMmkav9iTy39Zaj_7tE9677EGlOJ14KU9TZn7I/"",""2003-2017!AC94"")"),639.514082313726)</f>
        <v>639.51408231372602</v>
      </c>
      <c r="G259" s="64" t="s">
        <v>8</v>
      </c>
      <c r="K259" s="18"/>
      <c r="L259" s="2"/>
      <c r="M259" s="11"/>
      <c r="N259" s="11"/>
      <c r="O259" s="11"/>
      <c r="P259" s="11"/>
      <c r="Q259" s="1"/>
    </row>
    <row r="260" spans="1:17" ht="13.2" x14ac:dyDescent="0.25">
      <c r="A260" s="88" t="s">
        <v>234</v>
      </c>
      <c r="B260" s="89">
        <v>137</v>
      </c>
      <c r="C260" s="84">
        <f>19792.1/1000</f>
        <v>19.792099999999998</v>
      </c>
      <c r="D260" s="90">
        <f ca="1">IFERROR(__xludf.DUMMYFUNCTION("C254*IMPORTRANGE(""https://docs.google.com/spreadsheets/d/1xsp01RMmkav9iTy39Zaj_7tE9677EGlOJ14KU9TZn7I/"",""2003-2017!H117"")"),16.5141323979999)</f>
        <v>16.514132397999902</v>
      </c>
      <c r="E260" s="90">
        <f ca="1">IFERROR(__xludf.DUMMYFUNCTION("D254*IMPORTRANGE(""https://docs.google.com/spreadsheets/d/1xsp01RMmkav9iTy39Zaj_7tE9677EGlOJ14KU9TZn7I/"",""2003-2017!T117"")"),9.20472968665923)</f>
        <v>9.2047296866592294</v>
      </c>
      <c r="F260" s="90">
        <f ca="1">IFERROR(__xludf.DUMMYFUNCTION("C254*IMPORTRANGE(""https://docs.google.com/spreadsheets/d/1xsp01RMmkav9iTy39Zaj_7tE9677EGlOJ14KU9TZn7I/"",""2003-2017!AC117"")"),2143.48441020789)</f>
        <v>2143.4844102078901</v>
      </c>
      <c r="G260" s="69" t="s">
        <v>8</v>
      </c>
      <c r="K260" s="18"/>
      <c r="L260" s="2"/>
      <c r="M260" s="11"/>
      <c r="N260" s="11"/>
      <c r="O260" s="11"/>
      <c r="P260" s="11"/>
      <c r="Q260" s="1"/>
    </row>
    <row r="261" spans="1:17" ht="13.2" x14ac:dyDescent="0.25">
      <c r="A261" s="85" t="s">
        <v>235</v>
      </c>
      <c r="B261" s="86">
        <v>120</v>
      </c>
      <c r="C261" s="78">
        <f>6414.3/1000</f>
        <v>6.4142999999999999</v>
      </c>
      <c r="D261" s="87">
        <f ca="1">IFERROR(__xludf.DUMMYFUNCTION("C255*IMPORTRANGE(""https://docs.google.com/spreadsheets/d/1xsp01RMmkav9iTy39Zaj_7tE9677EGlOJ14KU9TZn7I/"",""2003-2017!H139"")"),5.343496758)</f>
        <v>5.3434967579999997</v>
      </c>
      <c r="E261" s="87">
        <f ca="1">IFERROR(__xludf.DUMMYFUNCTION("C255*IMPORTRANGE(""https://docs.google.com/spreadsheets/d/1xsp01RMmkav9iTy39Zaj_7tE9677EGlOJ14KU9TZn7I/"",""2003-2017!T139"")"),3.585016413)</f>
        <v>3.585016413</v>
      </c>
      <c r="F261" s="87">
        <f ca="1">IFERROR(__xludf.DUMMYFUNCTION("C255*IMPORTRANGE(""https://docs.google.com/spreadsheets/d/1xsp01RMmkav9iTy39Zaj_7tE9677EGlOJ14KU9TZn7I/"",""2003-2017!AC139"")"),720.5824363428)</f>
        <v>720.58243634279995</v>
      </c>
      <c r="G261" s="64" t="s">
        <v>8</v>
      </c>
      <c r="K261" s="18"/>
      <c r="L261" s="2"/>
      <c r="M261" s="11"/>
      <c r="N261" s="11"/>
      <c r="O261" s="11"/>
      <c r="P261" s="11"/>
      <c r="Q261" s="1"/>
    </row>
    <row r="262" spans="1:17" ht="13.2" x14ac:dyDescent="0.25">
      <c r="A262" s="88" t="s">
        <v>236</v>
      </c>
      <c r="B262" s="89">
        <v>125</v>
      </c>
      <c r="C262" s="84">
        <f>3920/1000</f>
        <v>3.92</v>
      </c>
      <c r="D262" s="90">
        <f ca="1">IFERROR(__xludf.DUMMYFUNCTION("C256*IMPORTRANGE(""https://docs.google.com/spreadsheets/d/1xsp01RMmkav9iTy39Zaj_7tE9677EGlOJ14KU9TZn7I/"",""2003-2017!H162"")"),3.2248664)</f>
        <v>3.2248663999999998</v>
      </c>
      <c r="E262" s="90">
        <f ca="1">IFERROR(__xludf.DUMMYFUNCTION("C256*IMPORTRANGE(""https://docs.google.com/spreadsheets/d/1xsp01RMmkav9iTy39Zaj_7tE9677EGlOJ14KU9TZn7I/"",""2003-2017!T162"")"),2.1402612)</f>
        <v>2.1402611999999999</v>
      </c>
      <c r="F262" s="90">
        <f ca="1">IFERROR(__xludf.DUMMYFUNCTION("C256*IMPORTRANGE(""https://docs.google.com/spreadsheets/d/1xsp01RMmkav9iTy39Zaj_7tE9677EGlOJ14KU9TZn7I/"",""2003-2017!AC162"")"),429.12240588)</f>
        <v>429.12240587999997</v>
      </c>
      <c r="G262" s="69" t="s">
        <v>8</v>
      </c>
      <c r="K262" s="18"/>
      <c r="L262" s="2"/>
      <c r="M262" s="11"/>
      <c r="N262" s="11"/>
      <c r="O262" s="11"/>
      <c r="P262" s="11"/>
      <c r="Q262" s="1"/>
    </row>
    <row r="263" spans="1:17" ht="13.2" x14ac:dyDescent="0.25">
      <c r="A263" s="85" t="s">
        <v>237</v>
      </c>
      <c r="B263" s="86">
        <v>146</v>
      </c>
      <c r="C263" s="78">
        <f>11459/1000</f>
        <v>11.459</v>
      </c>
      <c r="D263" s="87">
        <f ca="1">IFERROR(__xludf.DUMMYFUNCTION("C257*IMPORTRANGE(""https://docs.google.com/spreadsheets/d/1xsp01RMmkav9iTy39Zaj_7tE9677EGlOJ14KU9TZn7I/"",""2003-2017!H185"")"),9.312099055)</f>
        <v>9.3120990549999991</v>
      </c>
      <c r="E263" s="87">
        <f ca="1">IFERROR(__xludf.DUMMYFUNCTION("C257*IMPORTRANGE(""https://docs.google.com/spreadsheets/d/1xsp01RMmkav9iTy39Zaj_7tE9677EGlOJ14KU9TZn7I/"",""2003-2017!T185"")"),6.21719503999999)</f>
        <v>6.2171950399999902</v>
      </c>
      <c r="F263" s="87">
        <f ca="1">IFERROR(__xludf.DUMMYFUNCTION("C257*IMPORTRANGE(""https://docs.google.com/spreadsheets/d/1xsp01RMmkav9iTy39Zaj_7tE9677EGlOJ14KU9TZn7I/"",""2003-2017!AC185"")"),1249.947742918)</f>
        <v>1249.9477429179999</v>
      </c>
      <c r="G263" s="64" t="s">
        <v>8</v>
      </c>
      <c r="K263" s="18"/>
      <c r="L263" s="2"/>
      <c r="M263" s="11"/>
      <c r="N263" s="11"/>
      <c r="O263" s="11"/>
      <c r="P263" s="11"/>
      <c r="Q263" s="1"/>
    </row>
    <row r="264" spans="1:17" ht="13.2" x14ac:dyDescent="0.25">
      <c r="A264" s="88" t="s">
        <v>238</v>
      </c>
      <c r="B264" s="89">
        <v>113</v>
      </c>
      <c r="C264" s="84">
        <f>17682.3/1000</f>
        <v>17.682299999999998</v>
      </c>
      <c r="D264" s="90">
        <f ca="1">IFERROR(__xludf.DUMMYFUNCTION("C258*IMPORTRANGE(""https://docs.google.com/spreadsheets/d/1xsp01RMmkav9iTy39Zaj_7tE9677EGlOJ14KU9TZn7I/"",""2003-2017!H208"")"),14.4937392525)</f>
        <v>14.493739252499999</v>
      </c>
      <c r="E264" s="90">
        <f ca="1">IFERROR(__xludf.DUMMYFUNCTION("C258*IMPORTRANGE(""https://docs.google.com/spreadsheets/d/1xsp01RMmkav9iTy39Zaj_7tE9677EGlOJ14KU9TZn7I/"",""2003-2017!T208"")"),9.6935252715)</f>
        <v>9.6935252715000004</v>
      </c>
      <c r="F264" s="90">
        <f ca="1">IFERROR(__xludf.DUMMYFUNCTION("C258*IMPORTRANGE(""https://docs.google.com/spreadsheets/d/1xsp01RMmkav9iTy39Zaj_7tE9677EGlOJ14KU9TZn7I/"",""2003-2017!AC208"")"),1949.38513697655)</f>
        <v>1949.38513697655</v>
      </c>
      <c r="G264" s="69" t="s">
        <v>8</v>
      </c>
      <c r="K264" s="18"/>
      <c r="L264" s="2"/>
      <c r="M264" s="11"/>
      <c r="N264" s="11"/>
      <c r="O264" s="11"/>
      <c r="P264" s="11"/>
      <c r="Q264" s="1"/>
    </row>
    <row r="265" spans="1:17" ht="13.2" x14ac:dyDescent="0.25">
      <c r="A265" s="85" t="s">
        <v>239</v>
      </c>
      <c r="B265" s="86">
        <v>145</v>
      </c>
      <c r="C265" s="78">
        <f>12571.3/1000</f>
        <v>12.571299999999999</v>
      </c>
      <c r="D265" s="87">
        <f ca="1">IFERROR(__xludf.DUMMYFUNCTION("C259*IMPORTRANGE(""https://docs.google.com/spreadsheets/d/1xsp01RMmkav9iTy39Zaj_7tE9677EGlOJ14KU9TZn7I/"",""2003-2017!H231"")"),10.2614493379999)</f>
        <v>10.261449337999901</v>
      </c>
      <c r="E265" s="87">
        <f ca="1">IFERROR(__xludf.DUMMYFUNCTION("C259*IMPORTRANGE(""https://docs.google.com/spreadsheets/d/1xsp01RMmkav9iTy39Zaj_7tE9677EGlOJ14KU9TZn7I/"",""2003-2017!T231"")"),7.00818546749999)</f>
        <v>7.0081854674999899</v>
      </c>
      <c r="F265" s="87">
        <f ca="1">IFERROR(__xludf.DUMMYFUNCTION("C259*IMPORTRANGE(""https://docs.google.com/spreadsheets/d/1xsp01RMmkav9iTy39Zaj_7tE9677EGlOJ14KU9TZn7I/"",""2003-2017!AC231"")"),1382.40301078565)</f>
        <v>1382.4030107856499</v>
      </c>
      <c r="G265" s="64" t="s">
        <v>8</v>
      </c>
      <c r="K265" s="18"/>
      <c r="L265" s="2"/>
      <c r="M265" s="11"/>
      <c r="N265" s="11"/>
      <c r="O265" s="11"/>
      <c r="P265" s="11"/>
      <c r="Q265" s="1"/>
    </row>
    <row r="266" spans="1:17" ht="13.2" x14ac:dyDescent="0.25">
      <c r="A266" s="88" t="s">
        <v>240</v>
      </c>
      <c r="B266" s="91">
        <v>156</v>
      </c>
      <c r="C266" s="84">
        <f>24061.32/1000</f>
        <v>24.061319999999998</v>
      </c>
      <c r="D266" s="90">
        <f ca="1">IFERROR(__xludf.DUMMYFUNCTION("C260*IMPORTRANGE(""https://docs.google.com/spreadsheets/d/1xsp01RMmkav9iTy39Zaj_7tE9677EGlOJ14KU9TZn7I/"",""2003-2017!H253"")"),19.3312254077999)</f>
        <v>19.331225407799899</v>
      </c>
      <c r="E266" s="90">
        <f ca="1">IFERROR(__xludf.DUMMYFUNCTION("C260*IMPORTRANGE(""https://docs.google.com/spreadsheets/d/1xsp01RMmkav9iTy39Zaj_7tE9677EGlOJ14KU9TZn7I/"",""2003-2017!T253"")"),13.3755674814)</f>
        <v>13.375567481399999</v>
      </c>
      <c r="F266" s="90">
        <f ca="1">IFERROR(__xludf.DUMMYFUNCTION("C260*IMPORTRANGE(""https://docs.google.com/spreadsheets/d/1xsp01RMmkav9iTy39Zaj_7tE9677EGlOJ14KU9TZn7I/"",""2003-2017!AC253"")"),2631.58664058395)</f>
        <v>2631.5866405839502</v>
      </c>
      <c r="G266" s="69" t="s">
        <v>8</v>
      </c>
      <c r="K266" s="18"/>
      <c r="L266" s="2"/>
      <c r="M266" s="11"/>
      <c r="N266" s="11"/>
      <c r="O266" s="11"/>
      <c r="P266" s="11"/>
      <c r="Q266" s="1"/>
    </row>
    <row r="267" spans="1:17" ht="13.2" x14ac:dyDescent="0.25">
      <c r="A267" s="85" t="s">
        <v>241</v>
      </c>
      <c r="B267" s="86">
        <v>144</v>
      </c>
      <c r="C267" s="78">
        <f>15247.1/1000</f>
        <v>15.2471</v>
      </c>
      <c r="D267" s="87">
        <f ca="1">IFERROR(__xludf.DUMMYFUNCTION("C261*IMPORTRANGE(""https://docs.google.com/spreadsheets/d/1xsp01RMmkav9iTy39Zaj_7tE9677EGlOJ14KU9TZn7I/"",""2003-2017!H276"")"),11.760698114)</f>
        <v>11.760698114</v>
      </c>
      <c r="E267" s="87">
        <f ca="1">IFERROR(__xludf.DUMMYFUNCTION("C261*IMPORTRANGE(""https://docs.google.com/spreadsheets/d/1xsp01RMmkav9iTy39Zaj_7tE9677EGlOJ14KU9TZn7I/"",""2003-2017!T276"")"),8.212850415)</f>
        <v>8.2128504150000001</v>
      </c>
      <c r="F267" s="87">
        <f ca="1">IFERROR(__xludf.DUMMYFUNCTION("C261*IMPORTRANGE(""https://docs.google.com/spreadsheets/d/1xsp01RMmkav9iTy39Zaj_7tE9677EGlOJ14KU9TZn7I/"",""2003-2017!AC276"")"),1607.2730617471)</f>
        <v>1607.2730617471</v>
      </c>
      <c r="G267" s="64" t="s">
        <v>8</v>
      </c>
      <c r="K267" s="18"/>
      <c r="L267" s="2"/>
      <c r="M267" s="11"/>
      <c r="N267" s="11"/>
      <c r="O267" s="11"/>
      <c r="P267" s="11"/>
      <c r="Q267" s="1"/>
    </row>
    <row r="268" spans="1:17" ht="13.2" x14ac:dyDescent="0.25">
      <c r="A268" s="88" t="s">
        <v>242</v>
      </c>
      <c r="B268" s="89">
        <v>271</v>
      </c>
      <c r="C268" s="84">
        <f>42131/1000</f>
        <v>42.131</v>
      </c>
      <c r="D268" s="90">
        <f ca="1">IFERROR(__xludf.DUMMYFUNCTION("C262*IMPORTRANGE(""https://docs.google.com/spreadsheets/d/1xsp01RMmkav9iTy39Zaj_7tE9677EGlOJ14KU9TZn7I/"",""2003-2017!H300"")"),31.45963901)</f>
        <v>31.45963901</v>
      </c>
      <c r="E268" s="90">
        <f ca="1">IFERROR(__xludf.DUMMYFUNCTION("C262*IMPORTRANGE(""https://docs.google.com/spreadsheets/d/1xsp01RMmkav9iTy39Zaj_7tE9677EGlOJ14KU9TZn7I/"",""2003-2017!T300"")"),21.85798411)</f>
        <v>21.85798411</v>
      </c>
      <c r="F268" s="90">
        <f ca="1">IFERROR(__xludf.DUMMYFUNCTION("C262*IMPORTRANGE(""https://docs.google.com/spreadsheets/d/1xsp01RMmkav9iTy39Zaj_7tE9677EGlOJ14KU9TZn7I/"",""2003-2017!AC300"")"),4379.096224262)</f>
        <v>4379.0962242619999</v>
      </c>
      <c r="G268" s="69" t="s">
        <v>8</v>
      </c>
      <c r="K268" s="18"/>
      <c r="L268" s="2"/>
      <c r="M268" s="11"/>
      <c r="N268" s="11"/>
      <c r="O268" s="11"/>
      <c r="P268" s="11"/>
      <c r="Q268" s="1"/>
    </row>
    <row r="269" spans="1:17" ht="13.2" x14ac:dyDescent="0.25">
      <c r="A269" s="56">
        <v>2005</v>
      </c>
      <c r="B269" s="57"/>
      <c r="C269" s="60"/>
      <c r="D269" s="60"/>
      <c r="E269" s="60"/>
      <c r="F269" s="60"/>
      <c r="G269" s="59"/>
      <c r="K269" s="18"/>
      <c r="L269" s="2"/>
      <c r="M269" s="11"/>
      <c r="N269" s="11"/>
      <c r="O269" s="11"/>
      <c r="P269" s="11"/>
      <c r="Q269" s="1"/>
    </row>
    <row r="270" spans="1:17" ht="13.2" x14ac:dyDescent="0.25">
      <c r="A270" s="85" t="s">
        <v>243</v>
      </c>
      <c r="B270" s="86">
        <v>230</v>
      </c>
      <c r="C270" s="78">
        <f>20013.9/1000</f>
        <v>20.013900000000003</v>
      </c>
      <c r="D270" s="87">
        <f ca="1">IFERROR(__xludf.DUMMYFUNCTION("C264*IMPORTRANGE(""https://docs.google.com/spreadsheets/d/1xsp01RMmkav9iTy39Zaj_7tE9677EGlOJ14KU9TZn7I/"",""2003-2017!H323"")"),15.323442396)</f>
        <v>15.323442396000001</v>
      </c>
      <c r="E270" s="87">
        <f ca="1">IFERROR(__xludf.DUMMYFUNCTION("C264*IMPORTRANGE(""https://docs.google.com/spreadsheets/d/1xsp01RMmkav9iTy39Zaj_7tE9677EGlOJ14KU9TZn7I/"",""2003-2017!T323"")"),10.653599109)</f>
        <v>10.653599109</v>
      </c>
      <c r="F270" s="87">
        <f ca="1">IFERROR(__xludf.DUMMYFUNCTION("C264*IMPORTRANGE(""https://docs.google.com/spreadsheets/d/1xsp01RMmkav9iTy39Zaj_7tE9677EGlOJ14KU9TZn7I/"",""2003-2017!AC323"")"),2059.6305290556)</f>
        <v>2059.6305290556002</v>
      </c>
      <c r="G270" s="64" t="s">
        <v>8</v>
      </c>
      <c r="K270" s="18"/>
      <c r="L270" s="2"/>
      <c r="M270" s="11"/>
      <c r="N270" s="11"/>
      <c r="O270" s="11"/>
      <c r="P270" s="11"/>
      <c r="Q270" s="1"/>
    </row>
    <row r="271" spans="1:17" ht="13.2" x14ac:dyDescent="0.25">
      <c r="A271" s="88" t="s">
        <v>244</v>
      </c>
      <c r="B271" s="89">
        <v>176</v>
      </c>
      <c r="C271" s="84">
        <f>10822.9/1000</f>
        <v>10.822899999999999</v>
      </c>
      <c r="D271" s="90">
        <f ca="1">IFERROR(__xludf.DUMMYFUNCTION("C265*IMPORTRANGE(""https://docs.google.com/spreadsheets/d/1xsp01RMmkav9iTy39Zaj_7tE9677EGlOJ14KU9TZn7I/"",""2003-2017!H344"")"),8.3077121545)</f>
        <v>8.3077121545000008</v>
      </c>
      <c r="E271" s="90">
        <f ca="1">IFERROR(__xludf.DUMMYFUNCTION("C265*IMPORTRANGE(""https://docs.google.com/spreadsheets/d/1xsp01RMmkav9iTy39Zaj_7tE9677EGlOJ14KU9TZn7I/"",""2003-2017!T344"")"),5.738734496)</f>
        <v>5.7387344960000002</v>
      </c>
      <c r="F271" s="90">
        <f ca="1">IFERROR(__xludf.DUMMYFUNCTION("C265*IMPORTRANGE(""https://docs.google.com/spreadsheets/d/1xsp01RMmkav9iTy39Zaj_7tE9677EGlOJ14KU9TZn7I/"",""2003-2017!AC344"")"),1138.24437135419)</f>
        <v>1138.24437135419</v>
      </c>
      <c r="G271" s="69" t="s">
        <v>8</v>
      </c>
      <c r="K271" s="18"/>
      <c r="L271" s="2"/>
      <c r="M271" s="11"/>
      <c r="N271" s="11"/>
      <c r="O271" s="11"/>
      <c r="P271" s="11"/>
      <c r="Q271" s="1"/>
    </row>
    <row r="272" spans="1:17" ht="13.2" x14ac:dyDescent="0.25">
      <c r="A272" s="85" t="s">
        <v>245</v>
      </c>
      <c r="B272" s="86">
        <v>244</v>
      </c>
      <c r="C272" s="78">
        <f>48632.9/1000</f>
        <v>48.632899999999999</v>
      </c>
      <c r="D272" s="87">
        <f ca="1">IFERROR(__xludf.DUMMYFUNCTION("C266*IMPORTRANGE(""https://docs.google.com/spreadsheets/d/1xsp01RMmkav9iTy39Zaj_7tE9677EGlOJ14KU9TZn7I/"",""2003-2017!H368"")"),36.921611351)</f>
        <v>36.921611351000003</v>
      </c>
      <c r="E272" s="87">
        <f ca="1">IFERROR(__xludf.DUMMYFUNCTION("C266*IMPORTRANGE(""https://docs.google.com/spreadsheets/d/1xsp01RMmkav9iTy39Zaj_7tE9677EGlOJ14KU9TZn7I/"",""2003-2017!T368"")"),25.419444172)</f>
        <v>25.419444171999999</v>
      </c>
      <c r="F272" s="87">
        <f ca="1">IFERROR(__xludf.DUMMYFUNCTION("C266*IMPORTRANGE(""https://docs.google.com/spreadsheets/d/1xsp01RMmkav9iTy39Zaj_7tE9677EGlOJ14KU9TZn7I/"",""2003-2017!AC368"")"),5103.050197)</f>
        <v>5103.0501969999996</v>
      </c>
      <c r="G272" s="64" t="s">
        <v>8</v>
      </c>
      <c r="K272" s="18"/>
      <c r="L272" s="2"/>
      <c r="M272" s="11"/>
      <c r="N272" s="11"/>
      <c r="O272" s="11"/>
      <c r="P272" s="11"/>
      <c r="Q272" s="1"/>
    </row>
    <row r="273" spans="1:17" ht="13.2" x14ac:dyDescent="0.25">
      <c r="A273" s="88" t="s">
        <v>246</v>
      </c>
      <c r="B273" s="89">
        <v>230</v>
      </c>
      <c r="C273" s="84">
        <f>10003.6/1000</f>
        <v>10.0036</v>
      </c>
      <c r="D273" s="90">
        <f ca="1">IFERROR(__xludf.DUMMYFUNCTION("C267*IMPORTRANGE(""https://docs.google.com/spreadsheets/d/1xsp01RMmkav9iTy39Zaj_7tE9677EGlOJ14KU9TZn7I/"",""2003-2017!H390"")"),7.745687444)</f>
        <v>7.7456874439999996</v>
      </c>
      <c r="E273" s="90">
        <f ca="1">IFERROR(__xludf.DUMMYFUNCTION("C267*IMPORTRANGE(""https://docs.google.com/spreadsheets/d/1xsp01RMmkav9iTy39Zaj_7tE9677EGlOJ14KU9TZn7I/"",""2003-2017!T390"")"),5.28090044)</f>
        <v>5.2809004399999999</v>
      </c>
      <c r="F273" s="90">
        <f ca="1">IFERROR(__xludf.DUMMYFUNCTION("C267*IMPORTRANGE(""https://docs.google.com/spreadsheets/d/1xsp01RMmkav9iTy39Zaj_7tE9677EGlOJ14KU9TZn7I/"",""2003-2017!AC390"")"),1074.686748)</f>
        <v>1074.6867480000001</v>
      </c>
      <c r="G273" s="69" t="s">
        <v>8</v>
      </c>
      <c r="K273" s="18"/>
      <c r="L273" s="2"/>
      <c r="M273" s="11"/>
      <c r="N273" s="11"/>
      <c r="O273" s="11"/>
      <c r="P273" s="11"/>
      <c r="Q273" s="1"/>
    </row>
    <row r="274" spans="1:17" ht="13.2" x14ac:dyDescent="0.25">
      <c r="A274" s="85" t="s">
        <v>247</v>
      </c>
      <c r="B274" s="86">
        <v>196</v>
      </c>
      <c r="C274" s="78">
        <f>34145.9/1000</f>
        <v>34.145900000000005</v>
      </c>
      <c r="D274" s="87">
        <f ca="1">IFERROR(__xludf.DUMMYFUNCTION("C268*IMPORTRANGE(""https://docs.google.com/spreadsheets/d/1xsp01RMmkav9iTy39Zaj_7tE9677EGlOJ14KU9TZn7I/"",""2003-2017!H413"")"),27.0194799405)</f>
        <v>27.019479940499998</v>
      </c>
      <c r="E274" s="87">
        <f ca="1">IFERROR(__xludf.DUMMYFUNCTION("C268*IMPORTRANGE(""https://docs.google.com/spreadsheets/d/1xsp01RMmkav9iTy39Zaj_7tE9677EGlOJ14KU9TZn7I/"",""2003-2017!T413"")"),18.5646136415)</f>
        <v>18.564613641499999</v>
      </c>
      <c r="F274" s="87">
        <f ca="1">IFERROR(__xludf.DUMMYFUNCTION("C268*IMPORTRANGE(""https://docs.google.com/spreadsheets/d/1xsp01RMmkav9iTy39Zaj_7tE9677EGlOJ14KU9TZn7I/"",""2003-2017!AC413"")"),3659.074644)</f>
        <v>3659.0746439999998</v>
      </c>
      <c r="G274" s="64" t="s">
        <v>8</v>
      </c>
      <c r="K274" s="18"/>
      <c r="L274" s="2"/>
      <c r="M274" s="11"/>
      <c r="N274" s="11"/>
      <c r="O274" s="11"/>
      <c r="P274" s="11"/>
      <c r="Q274" s="1"/>
    </row>
    <row r="275" spans="1:17" ht="13.2" x14ac:dyDescent="0.25">
      <c r="A275" s="88" t="s">
        <v>248</v>
      </c>
      <c r="B275" s="89">
        <v>277</v>
      </c>
      <c r="C275" s="84">
        <f>20301.7/1000</f>
        <v>20.3017</v>
      </c>
      <c r="D275" s="90">
        <f ca="1">IFERROR(__xludf.DUMMYFUNCTION("C269*IMPORTRANGE(""https://docs.google.com/spreadsheets/d/1xsp01RMmkav9iTy39Zaj_7tE9677EGlOJ14KU9TZn7I/"",""2003-2017!H436"")"),16.716825814)</f>
        <v>16.716825814</v>
      </c>
      <c r="E275" s="90">
        <f ca="1">IFERROR(__xludf.DUMMYFUNCTION("C269*IMPORTRANGE(""https://docs.google.com/spreadsheets/d/1xsp01RMmkav9iTy39Zaj_7tE9677EGlOJ14KU9TZn7I/"",""2003-2017!T436"")"),11.1495921315)</f>
        <v>11.1495921315</v>
      </c>
      <c r="F275" s="90">
        <f ca="1">IFERROR(__xludf.DUMMYFUNCTION("C269*IMPORTRANGE(""https://docs.google.com/spreadsheets/d/1xsp01RMmkav9iTy39Zaj_7tE9677EGlOJ14KU9TZn7I/"",""2003-2017!AC436"")"),2209.637028)</f>
        <v>2209.6370280000001</v>
      </c>
      <c r="G275" s="69" t="s">
        <v>8</v>
      </c>
      <c r="K275" s="18"/>
      <c r="L275" s="2"/>
      <c r="M275" s="11"/>
      <c r="N275" s="11"/>
      <c r="O275" s="11"/>
      <c r="P275" s="11"/>
      <c r="Q275" s="1"/>
    </row>
    <row r="276" spans="1:17" ht="13.2" x14ac:dyDescent="0.25">
      <c r="A276" s="85" t="s">
        <v>249</v>
      </c>
      <c r="B276" s="86">
        <v>246</v>
      </c>
      <c r="C276" s="78">
        <f>18156.4/1000</f>
        <v>18.156400000000001</v>
      </c>
      <c r="D276" s="87">
        <f ca="1">IFERROR(__xludf.DUMMYFUNCTION("C270*IMPORTRANGE(""https://docs.google.com/spreadsheets/d/1xsp01RMmkav9iTy39Zaj_7tE9677EGlOJ14KU9TZn7I/"",""2003-2017!H458"")"),15.053834368)</f>
        <v>15.053834368</v>
      </c>
      <c r="E276" s="87">
        <f ca="1">IFERROR(__xludf.DUMMYFUNCTION("C270*IMPORTRANGE(""https://docs.google.com/spreadsheets/d/1xsp01RMmkav9iTy39Zaj_7tE9677EGlOJ14KU9TZn7I/"",""2003-2017!T458"")"),10.363309992)</f>
        <v>10.363309992</v>
      </c>
      <c r="F276" s="87">
        <f ca="1">IFERROR(__xludf.DUMMYFUNCTION("C270*IMPORTRANGE(""https://docs.google.com/spreadsheets/d/1xsp01RMmkav9iTy39Zaj_7tE9677EGlOJ14KU9TZn7I/"",""2003-2017!AC458"")"),2033.6984003128)</f>
        <v>2033.6984003128</v>
      </c>
      <c r="G276" s="64" t="s">
        <v>8</v>
      </c>
      <c r="K276" s="18"/>
      <c r="L276" s="2"/>
      <c r="M276" s="11"/>
      <c r="N276" s="11"/>
      <c r="O276" s="11"/>
      <c r="P276" s="11"/>
      <c r="Q276" s="1"/>
    </row>
    <row r="277" spans="1:17" ht="13.2" x14ac:dyDescent="0.25">
      <c r="A277" s="88" t="s">
        <v>250</v>
      </c>
      <c r="B277" s="89">
        <v>215</v>
      </c>
      <c r="C277" s="84">
        <f>38077.9/1000</f>
        <v>38.0779</v>
      </c>
      <c r="D277" s="90">
        <f ca="1">IFERROR(__xludf.DUMMYFUNCTION("C271*IMPORTRANGE(""https://docs.google.com/spreadsheets/d/1xsp01RMmkav9iTy39Zaj_7tE9677EGlOJ14KU9TZn7I/"",""2003-2017!H482"")"),30.952763352)</f>
        <v>30.952763352000002</v>
      </c>
      <c r="E277" s="90">
        <f ca="1">IFERROR(__xludf.DUMMYFUNCTION("C271*IMPORTRANGE(""https://docs.google.com/spreadsheets/d/1xsp01RMmkav9iTy39Zaj_7tE9677EGlOJ14KU9TZn7I/"",""2003-2017!T482"")"),21.195682256)</f>
        <v>21.195682256000001</v>
      </c>
      <c r="F277" s="90">
        <f ca="1">IFERROR(__xludf.DUMMYFUNCTION("C271*IMPORTRANGE(""https://docs.google.com/spreadsheets/d/1xsp01RMmkav9iTy39Zaj_7tE9677EGlOJ14KU9TZn7I/"",""2003-2017!AC482"")"),4206.0847959221)</f>
        <v>4206.0847959221001</v>
      </c>
      <c r="G277" s="69" t="s">
        <v>8</v>
      </c>
      <c r="K277" s="18"/>
      <c r="L277" s="2"/>
      <c r="M277" s="11"/>
      <c r="N277" s="11"/>
      <c r="O277" s="11"/>
      <c r="P277" s="11"/>
      <c r="Q277" s="1"/>
    </row>
    <row r="278" spans="1:17" ht="13.2" x14ac:dyDescent="0.25">
      <c r="A278" s="85" t="s">
        <v>251</v>
      </c>
      <c r="B278" s="86">
        <v>258</v>
      </c>
      <c r="C278" s="78">
        <f>27114.6/1000</f>
        <v>27.114599999999999</v>
      </c>
      <c r="D278" s="87">
        <f ca="1">IFERROR(__xludf.DUMMYFUNCTION("C272*IMPORTRANGE(""https://docs.google.com/spreadsheets/d/1xsp01RMmkav9iTy39Zaj_7tE9677EGlOJ14KU9TZn7I/"",""2003-2017!H505"")"),22.154255076)</f>
        <v>22.154255075999998</v>
      </c>
      <c r="E278" s="87">
        <f ca="1">IFERROR(__xludf.DUMMYFUNCTION("C272*IMPORTRANGE(""https://docs.google.com/spreadsheets/d/1xsp01RMmkav9iTy39Zaj_7tE9677EGlOJ14KU9TZn7I/"",""2003-2017!T505"")"),14.991120048)</f>
        <v>14.991120048000001</v>
      </c>
      <c r="F278" s="87">
        <f ca="1">IFERROR(__xludf.DUMMYFUNCTION("C272*IMPORTRANGE(""https://docs.google.com/spreadsheets/d/1xsp01RMmkav9iTy39Zaj_7tE9677EGlOJ14KU9TZn7I/"",""2003-2017!AC505"")"),3001.85733888539)</f>
        <v>3001.8573388853902</v>
      </c>
      <c r="G278" s="64" t="s">
        <v>8</v>
      </c>
      <c r="K278" s="18"/>
      <c r="L278" s="2"/>
      <c r="M278" s="11"/>
      <c r="N278" s="11"/>
      <c r="O278" s="11"/>
      <c r="P278" s="11"/>
      <c r="Q278" s="1"/>
    </row>
    <row r="279" spans="1:17" ht="13.2" x14ac:dyDescent="0.25">
      <c r="A279" s="88" t="s">
        <v>252</v>
      </c>
      <c r="B279" s="89">
        <v>270</v>
      </c>
      <c r="C279" s="84">
        <f>28597.7/1000</f>
        <v>28.5977</v>
      </c>
      <c r="D279" s="90">
        <f ca="1">IFERROR(__xludf.DUMMYFUNCTION("C273*IMPORTRANGE(""https://docs.google.com/spreadsheets/d/1xsp01RMmkav9iTy39Zaj_7tE9677EGlOJ14KU9TZn7I/"",""2003-2017!H527"")"),23.795860193)</f>
        <v>23.795860192999999</v>
      </c>
      <c r="E279" s="90">
        <f ca="1">IFERROR(__xludf.DUMMYFUNCTION("C273*IMPORTRANGE(""https://docs.google.com/spreadsheets/d/1xsp01RMmkav9iTy39Zaj_7tE9677EGlOJ14KU9TZn7I/"",""2003-2017!T527"")"),16.168853603)</f>
        <v>16.168853602999999</v>
      </c>
      <c r="F279" s="90">
        <f ca="1">IFERROR(__xludf.DUMMYFUNCTION("C273*IMPORTRANGE(""https://docs.google.com/spreadsheets/d/1xsp01RMmkav9iTy39Zaj_7tE9677EGlOJ14KU9TZn7I/"",""2003-2017!AC527"")"),3291.5952128046)</f>
        <v>3291.5952128046001</v>
      </c>
      <c r="G279" s="69" t="s">
        <v>8</v>
      </c>
      <c r="K279" s="18"/>
      <c r="L279" s="2"/>
      <c r="M279" s="11"/>
      <c r="N279" s="11"/>
      <c r="O279" s="11"/>
      <c r="P279" s="11"/>
      <c r="Q279" s="1"/>
    </row>
    <row r="280" spans="1:17" ht="13.2" x14ac:dyDescent="0.25">
      <c r="A280" s="85" t="s">
        <v>253</v>
      </c>
      <c r="B280" s="86">
        <v>287</v>
      </c>
      <c r="C280" s="78">
        <f>34801.1/1000</f>
        <v>34.801099999999998</v>
      </c>
      <c r="D280" s="87">
        <f ca="1">IFERROR(__xludf.DUMMYFUNCTION("C274*IMPORTRANGE(""https://docs.google.com/spreadsheets/d/1xsp01RMmkav9iTy39Zaj_7tE9677EGlOJ14KU9TZn7I/"",""2003-2017!H550"")"),29.549962021)</f>
        <v>29.549962020999999</v>
      </c>
      <c r="E280" s="87">
        <f ca="1">IFERROR(__xludf.DUMMYFUNCTION("C274*IMPORTRANGE(""https://docs.google.com/spreadsheets/d/1xsp01RMmkav9iTy39Zaj_7tE9677EGlOJ14KU9TZn7I/"",""2003-2017!T550"")"),20.0720564415)</f>
        <v>20.072056441499999</v>
      </c>
      <c r="F280" s="87">
        <f ca="1">IFERROR(__xludf.DUMMYFUNCTION("C274*IMPORTRANGE(""https://docs.google.com/spreadsheets/d/1xsp01RMmkav9iTy39Zaj_7tE9677EGlOJ14KU9TZn7I/"",""2003-2017!AC550"")"),4134.37066259945)</f>
        <v>4134.37066259945</v>
      </c>
      <c r="G280" s="64" t="s">
        <v>8</v>
      </c>
      <c r="K280" s="18"/>
      <c r="L280" s="2"/>
      <c r="M280" s="11"/>
      <c r="N280" s="11"/>
      <c r="O280" s="11"/>
      <c r="P280" s="11"/>
      <c r="Q280" s="1"/>
    </row>
    <row r="281" spans="1:17" ht="13.2" x14ac:dyDescent="0.25">
      <c r="A281" s="88" t="s">
        <v>254</v>
      </c>
      <c r="B281" s="89">
        <v>505</v>
      </c>
      <c r="C281" s="84">
        <f>64608/1000</f>
        <v>64.608000000000004</v>
      </c>
      <c r="D281" s="90">
        <f ca="1">IFERROR(__xludf.DUMMYFUNCTION("C275*IMPORTRANGE(""https://docs.google.com/spreadsheets/d/1xsp01RMmkav9iTy39Zaj_7tE9677EGlOJ14KU9TZn7I/"",""2003-2017!H573"")"),54.5259216)</f>
        <v>54.525921599999997</v>
      </c>
      <c r="E281" s="90">
        <f ca="1">IFERROR(__xludf.DUMMYFUNCTION("C275*IMPORTRANGE(""https://docs.google.com/spreadsheets/d/1xsp01RMmkav9iTy39Zaj_7tE9677EGlOJ14KU9TZn7I/"",""2003-2017!T573"")"),37.084992)</f>
        <v>37.084992</v>
      </c>
      <c r="F281" s="90">
        <f ca="1">IFERROR(__xludf.DUMMYFUNCTION("C275*IMPORTRANGE(""https://docs.google.com/spreadsheets/d/1xsp01RMmkav9iTy39Zaj_7tE9677EGlOJ14KU9TZn7I/"",""2003-2017!AC573"")"),7608.561087696)</f>
        <v>7608.561087696</v>
      </c>
      <c r="G281" s="69" t="s">
        <v>8</v>
      </c>
      <c r="K281" s="18"/>
      <c r="L281" s="2"/>
      <c r="M281" s="11"/>
      <c r="N281" s="11"/>
      <c r="O281" s="11"/>
      <c r="P281" s="11"/>
      <c r="Q281" s="1"/>
    </row>
    <row r="282" spans="1:17" ht="13.2" x14ac:dyDescent="0.25">
      <c r="A282" s="56">
        <v>2006</v>
      </c>
      <c r="B282" s="57"/>
      <c r="C282" s="60"/>
      <c r="D282" s="60"/>
      <c r="E282" s="60"/>
      <c r="F282" s="60"/>
      <c r="G282" s="59"/>
      <c r="K282" s="18"/>
      <c r="L282" s="2"/>
      <c r="M282" s="11"/>
      <c r="N282" s="11"/>
      <c r="O282" s="11"/>
      <c r="P282" s="11"/>
      <c r="Q282" s="1"/>
    </row>
    <row r="283" spans="1:17" ht="13.2" x14ac:dyDescent="0.25">
      <c r="A283" s="85" t="s">
        <v>255</v>
      </c>
      <c r="B283" s="86">
        <v>330</v>
      </c>
      <c r="C283" s="78">
        <f>34597.7/1000</f>
        <v>34.597699999999996</v>
      </c>
      <c r="D283" s="87">
        <f ca="1">IFERROR(__xludf.DUMMYFUNCTION("C277*IMPORTRANGE(""https://docs.google.com/spreadsheets/d/1xsp01RMmkav9iTy39Zaj_7tE9677EGlOJ14KU9TZn7I/"",""2003-2017!H597"")"),28.5690507749999)</f>
        <v>28.569050774999901</v>
      </c>
      <c r="E283" s="87">
        <f ca="1">IFERROR(__xludf.DUMMYFUNCTION("C277*IMPORTRANGE(""https://docs.google.com/spreadsheets/d/1xsp01RMmkav9iTy39Zaj_7tE9677EGlOJ14KU9TZn7I/"",""2003-2017!T597"")"),19.5810872805)</f>
        <v>19.5810872805</v>
      </c>
      <c r="F283" s="87">
        <f ca="1">IFERROR(__xludf.DUMMYFUNCTION("C277*IMPORTRANGE(""https://docs.google.com/spreadsheets/d/1xsp01RMmkav9iTy39Zaj_7tE9677EGlOJ14KU9TZn7I/"",""2003-2017!AC597"")"),3992.05556260344)</f>
        <v>3992.0555626034402</v>
      </c>
      <c r="G283" s="64" t="s">
        <v>8</v>
      </c>
      <c r="K283" s="18"/>
      <c r="L283" s="2"/>
      <c r="M283" s="11"/>
      <c r="N283" s="11"/>
      <c r="O283" s="11"/>
      <c r="P283" s="11"/>
      <c r="Q283" s="1"/>
    </row>
    <row r="284" spans="1:17" ht="13.2" x14ac:dyDescent="0.25">
      <c r="A284" s="88" t="s">
        <v>256</v>
      </c>
      <c r="B284" s="89">
        <v>337</v>
      </c>
      <c r="C284" s="84">
        <f>112833.1/1000</f>
        <v>112.8331</v>
      </c>
      <c r="D284" s="90">
        <f ca="1">IFERROR(__xludf.DUMMYFUNCTION("C278*IMPORTRANGE(""https://docs.google.com/spreadsheets/d/1xsp01RMmkav9iTy39Zaj_7tE9677EGlOJ14KU9TZn7I/"",""2003-2017!H618"")"),94.6111185155)</f>
        <v>94.611118515499996</v>
      </c>
      <c r="E284" s="90">
        <f ca="1">IFERROR(__xludf.DUMMYFUNCTION("C278*IMPORTRANGE(""https://docs.google.com/spreadsheets/d/1xsp01RMmkav9iTy39Zaj_7tE9677EGlOJ14KU9TZn7I/"",""2003-2017!T618"")"),64.670291265)</f>
        <v>64.670291265000003</v>
      </c>
      <c r="F284" s="90">
        <f ca="1">IFERROR(__xludf.DUMMYFUNCTION("C278*IMPORTRANGE(""https://docs.google.com/spreadsheets/d/1xsp01RMmkav9iTy39Zaj_7tE9677EGlOJ14KU9TZn7I/"",""2003-2017!AC618"")"),13309.2284797496)</f>
        <v>13309.2284797496</v>
      </c>
      <c r="G284" s="69" t="s">
        <v>8</v>
      </c>
      <c r="K284" s="18"/>
      <c r="L284" s="2"/>
      <c r="M284" s="11"/>
      <c r="N284" s="11"/>
      <c r="O284" s="11"/>
      <c r="P284" s="11"/>
      <c r="Q284" s="1"/>
    </row>
    <row r="285" spans="1:17" ht="13.2" x14ac:dyDescent="0.25">
      <c r="A285" s="85" t="s">
        <v>257</v>
      </c>
      <c r="B285" s="86">
        <v>381</v>
      </c>
      <c r="C285" s="78">
        <f>39591/1000</f>
        <v>39.591000000000001</v>
      </c>
      <c r="D285" s="87">
        <f ca="1">IFERROR(__xludf.DUMMYFUNCTION("C279*IMPORTRANGE(""https://docs.google.com/spreadsheets/d/1xsp01RMmkav9iTy39Zaj_7tE9677EGlOJ14KU9TZn7I/"",""2003-2017!H642"")"),32.90764329)</f>
        <v>32.907643290000003</v>
      </c>
      <c r="E285" s="87">
        <f ca="1">IFERROR(__xludf.DUMMYFUNCTION("C279*IMPORTRANGE(""https://docs.google.com/spreadsheets/d/1xsp01RMmkav9iTy39Zaj_7tE9677EGlOJ14KU9TZn7I/"",""2003-2017!T642"")"),22.66505568)</f>
        <v>22.665055679999998</v>
      </c>
      <c r="F285" s="87">
        <f ca="1">IFERROR(__xludf.DUMMYFUNCTION("C279*IMPORTRANGE(""https://docs.google.com/spreadsheets/d/1xsp01RMmkav9iTy39Zaj_7tE9677EGlOJ14KU9TZn7I/"",""2003-2017!AC642"")"),4652.734201227)</f>
        <v>4652.7342012270001</v>
      </c>
      <c r="G285" s="64" t="s">
        <v>8</v>
      </c>
      <c r="K285" s="18"/>
      <c r="L285" s="2"/>
      <c r="M285" s="11"/>
      <c r="N285" s="11"/>
      <c r="O285" s="11"/>
      <c r="P285" s="11"/>
      <c r="Q285" s="1"/>
    </row>
    <row r="286" spans="1:17" ht="13.2" x14ac:dyDescent="0.25">
      <c r="A286" s="88" t="s">
        <v>258</v>
      </c>
      <c r="B286" s="89">
        <v>347</v>
      </c>
      <c r="C286" s="84">
        <f>53296.4/1000</f>
        <v>53.296399999999998</v>
      </c>
      <c r="D286" s="90">
        <f ca="1">IFERROR(__xludf.DUMMYFUNCTION("C280*IMPORTRANGE(""https://docs.google.com/spreadsheets/d/1xsp01RMmkav9iTy39Zaj_7tE9677EGlOJ14KU9TZn7I/"",""2003-2017!H663"")"),43.422175972)</f>
        <v>43.422175971999998</v>
      </c>
      <c r="E286" s="90">
        <f ca="1">IFERROR(__xludf.DUMMYFUNCTION("C280*IMPORTRANGE(""https://docs.google.com/spreadsheets/d/1xsp01RMmkav9iTy39Zaj_7tE9677EGlOJ14KU9TZn7I/"",""2003-2017!T663"")"),30.2369130939999)</f>
        <v>30.236913093999899</v>
      </c>
      <c r="F286" s="90">
        <f ca="1">IFERROR(__xludf.DUMMYFUNCTION("C280*IMPORTRANGE(""https://docs.google.com/spreadsheets/d/1xsp01RMmkav9iTy39Zaj_7tE9677EGlOJ14KU9TZn7I/"",""2003-2017!AC663"")"),6259.1293225928)</f>
        <v>6259.1293225928002</v>
      </c>
      <c r="G286" s="69" t="s">
        <v>8</v>
      </c>
      <c r="K286" s="18"/>
      <c r="L286" s="2"/>
      <c r="M286" s="11"/>
      <c r="N286" s="11"/>
      <c r="O286" s="11"/>
      <c r="P286" s="11"/>
      <c r="Q286" s="1"/>
    </row>
    <row r="287" spans="1:17" ht="13.2" x14ac:dyDescent="0.25">
      <c r="A287" s="85" t="s">
        <v>259</v>
      </c>
      <c r="B287" s="86">
        <v>357</v>
      </c>
      <c r="C287" s="78">
        <f>28035.2/1000</f>
        <v>28.0352</v>
      </c>
      <c r="D287" s="87">
        <f ca="1">IFERROR(__xludf.DUMMYFUNCTION("C281*IMPORTRANGE(""https://docs.google.com/spreadsheets/d/1xsp01RMmkav9iTy39Zaj_7tE9677EGlOJ14KU9TZn7I/"",""2003-2017!H687"")"),21.947075968)</f>
        <v>21.947075968</v>
      </c>
      <c r="E287" s="87">
        <f ca="1">IFERROR(__xludf.DUMMYFUNCTION("C281*IMPORTRANGE(""https://docs.google.com/spreadsheets/d/1xsp01RMmkav9iTy39Zaj_7tE9677EGlOJ14KU9TZn7I/"",""2003-2017!T687"")"),14.97920736)</f>
        <v>14.97920736</v>
      </c>
      <c r="F287" s="87">
        <f ca="1">IFERROR(__xludf.DUMMYFUNCTION("C281*IMPORTRANGE(""https://docs.google.com/spreadsheets/d/1xsp01RMmkav9iTy39Zaj_7tE9677EGlOJ14KU9TZn7I/"",""2003-2017!AC687"")"),3133.2140080704)</f>
        <v>3133.2140080703998</v>
      </c>
      <c r="G287" s="64" t="s">
        <v>8</v>
      </c>
      <c r="K287" s="18"/>
      <c r="L287" s="2"/>
      <c r="M287" s="11"/>
      <c r="N287" s="11"/>
      <c r="O287" s="11"/>
      <c r="P287" s="11"/>
      <c r="Q287" s="1"/>
    </row>
    <row r="288" spans="1:17" ht="13.2" x14ac:dyDescent="0.25">
      <c r="A288" s="88" t="s">
        <v>260</v>
      </c>
      <c r="B288" s="89">
        <v>374</v>
      </c>
      <c r="C288" s="84">
        <f>33769.9/1000</f>
        <v>33.7699</v>
      </c>
      <c r="D288" s="90">
        <f ca="1">IFERROR(__xludf.DUMMYFUNCTION("C282*IMPORTRANGE(""https://docs.google.com/spreadsheets/d/1xsp01RMmkav9iTy39Zaj_7tE9677EGlOJ14KU9TZn7I/"",""2003-2017!H710"")"),26.715705589)</f>
        <v>26.715705588999999</v>
      </c>
      <c r="E288" s="90">
        <f ca="1">IFERROR(__xludf.DUMMYFUNCTION("C282*IMPORTRANGE(""https://docs.google.com/spreadsheets/d/1xsp01RMmkav9iTy39Zaj_7tE9677EGlOJ14KU9TZn7I/"",""2003-2017!T710"")"),18.320846148)</f>
        <v>18.320846148000001</v>
      </c>
      <c r="F288" s="90">
        <f ca="1">IFERROR(__xludf.DUMMYFUNCTION("C282*IMPORTRANGE(""https://docs.google.com/spreadsheets/d/1xsp01RMmkav9iTy39Zaj_7tE9677EGlOJ14KU9TZn7I/"",""2003-2017!AC710"")"),3878.38859024999)</f>
        <v>3878.3885902499901</v>
      </c>
      <c r="G288" s="69" t="s">
        <v>8</v>
      </c>
      <c r="K288" s="18"/>
      <c r="L288" s="2"/>
      <c r="M288" s="11"/>
      <c r="N288" s="11"/>
      <c r="O288" s="11"/>
      <c r="P288" s="11"/>
      <c r="Q288" s="1"/>
    </row>
    <row r="289" spans="1:17" ht="13.2" x14ac:dyDescent="0.25">
      <c r="A289" s="85" t="s">
        <v>261</v>
      </c>
      <c r="B289" s="86">
        <v>363</v>
      </c>
      <c r="C289" s="78">
        <f>23652.5/1000</f>
        <v>23.6525</v>
      </c>
      <c r="D289" s="87">
        <f ca="1">IFERROR(__xludf.DUMMYFUNCTION("C283*IMPORTRANGE(""https://docs.google.com/spreadsheets/d/1xsp01RMmkav9iTy39Zaj_7tE9677EGlOJ14KU9TZn7I/"",""2003-2017!H732"")"),18.60647565)</f>
        <v>18.60647565</v>
      </c>
      <c r="E289" s="87">
        <f ca="1">IFERROR(__xludf.DUMMYFUNCTION("C283*IMPORTRANGE(""https://docs.google.com/spreadsheets/d/1xsp01RMmkav9iTy39Zaj_7tE9677EGlOJ14KU9TZn7I/"",""2003-2017!T732"")"),12.82391245)</f>
        <v>12.82391245</v>
      </c>
      <c r="F289" s="87">
        <f ca="1">IFERROR(__xludf.DUMMYFUNCTION("C283*IMPORTRANGE(""https://docs.google.com/spreadsheets/d/1xsp01RMmkav9iTy39Zaj_7tE9677EGlOJ14KU9TZn7I/"",""2003-2017!AC732"")"),2733.519425)</f>
        <v>2733.519425</v>
      </c>
      <c r="G289" s="64" t="s">
        <v>8</v>
      </c>
      <c r="K289" s="18"/>
      <c r="L289" s="2"/>
      <c r="M289" s="11"/>
      <c r="N289" s="11"/>
      <c r="O289" s="11"/>
      <c r="P289" s="11"/>
      <c r="Q289" s="1"/>
    </row>
    <row r="290" spans="1:17" ht="13.2" x14ac:dyDescent="0.25">
      <c r="A290" s="88" t="s">
        <v>262</v>
      </c>
      <c r="B290" s="89">
        <v>337</v>
      </c>
      <c r="C290" s="84">
        <f>19117.7/1000</f>
        <v>19.117699999999999</v>
      </c>
      <c r="D290" s="90">
        <f ca="1">IFERROR(__xludf.DUMMYFUNCTION("C284*IMPORTRANGE(""https://docs.google.com/spreadsheets/d/1xsp01RMmkav9iTy39Zaj_7tE9677EGlOJ14KU9TZn7I/"",""2003-2017!H756"")"),14.9251883899999)</f>
        <v>14.925188389999899</v>
      </c>
      <c r="E290" s="90">
        <f ca="1">IFERROR(__xludf.DUMMYFUNCTION("C284*IMPORTRANGE(""https://docs.google.com/spreadsheets/d/1xsp01RMmkav9iTy39Zaj_7tE9677EGlOJ14KU9TZn7I/"",""2003-2017!T756"")"),10.103895627)</f>
        <v>10.103895627</v>
      </c>
      <c r="F290" s="90">
        <f ca="1">IFERROR(__xludf.DUMMYFUNCTION("C284*IMPORTRANGE(""https://docs.google.com/spreadsheets/d/1xsp01RMmkav9iTy39Zaj_7tE9677EGlOJ14KU9TZn7I/"",""2003-2017!AC756"")"),2216.5061762354)</f>
        <v>2216.5061762353998</v>
      </c>
      <c r="G290" s="69" t="s">
        <v>8</v>
      </c>
      <c r="K290" s="18"/>
      <c r="L290" s="2"/>
      <c r="M290" s="11"/>
      <c r="N290" s="11"/>
      <c r="O290" s="11"/>
      <c r="P290" s="11"/>
      <c r="Q290" s="1"/>
    </row>
    <row r="291" spans="1:17" ht="13.2" x14ac:dyDescent="0.25">
      <c r="A291" s="85" t="s">
        <v>263</v>
      </c>
      <c r="B291" s="86">
        <v>322</v>
      </c>
      <c r="C291" s="78">
        <f>26337.9/1000</f>
        <v>26.337900000000001</v>
      </c>
      <c r="D291" s="87">
        <f ca="1">IFERROR(__xludf.DUMMYFUNCTION("C285*IMPORTRANGE(""https://docs.google.com/spreadsheets/d/1xsp01RMmkav9iTy39Zaj_7tE9677EGlOJ14KU9TZn7I/"",""2003-2017!H778"")"),20.727137163)</f>
        <v>20.727137162999998</v>
      </c>
      <c r="E291" s="87">
        <f ca="1">IFERROR(__xludf.DUMMYFUNCTION("C285*IMPORTRANGE(""https://docs.google.com/spreadsheets/d/1xsp01RMmkav9iTy39Zaj_7tE9677EGlOJ14KU9TZn7I/"",""2003-2017!T778"")"),13.965671475)</f>
        <v>13.965671475000001</v>
      </c>
      <c r="F291" s="87">
        <f ca="1">IFERROR(__xludf.DUMMYFUNCTION("C285*IMPORTRANGE(""https://docs.google.com/spreadsheets/d/1xsp01RMmkav9iTy39Zaj_7tE9677EGlOJ14KU9TZn7I/"",""2003-2017!AC778"")"),3093.1230286758)</f>
        <v>3093.1230286758</v>
      </c>
      <c r="G291" s="64" t="s">
        <v>8</v>
      </c>
      <c r="K291" s="18"/>
      <c r="L291" s="2"/>
      <c r="M291" s="11"/>
      <c r="N291" s="11"/>
      <c r="O291" s="11"/>
      <c r="P291" s="11"/>
      <c r="Q291" s="1"/>
    </row>
    <row r="292" spans="1:17" ht="13.2" x14ac:dyDescent="0.25">
      <c r="A292" s="88" t="s">
        <v>264</v>
      </c>
      <c r="B292" s="91">
        <v>371</v>
      </c>
      <c r="C292" s="84">
        <f>41744.59/1000</f>
        <v>41.744589999999995</v>
      </c>
      <c r="D292" s="90">
        <f ca="1">IFERROR(__xludf.DUMMYFUNCTION("C286*IMPORTRANGE(""https://docs.google.com/spreadsheets/d/1xsp01RMmkav9iTy39Zaj_7tE9677EGlOJ14KU9TZn7I/"",""2003-2017!H801"")"),33.1042947618)</f>
        <v>33.104294761799999</v>
      </c>
      <c r="E292" s="90">
        <f ca="1">IFERROR(__xludf.DUMMYFUNCTION("C286*IMPORTRANGE(""https://docs.google.com/spreadsheets/d/1xsp01RMmkav9iTy39Zaj_7tE9677EGlOJ14KU9TZn7I/"",""2003-2017!T801"")"),22.2603026175)</f>
        <v>22.260302617499999</v>
      </c>
      <c r="F292" s="90">
        <f ca="1">IFERROR(__xludf.DUMMYFUNCTION("C286*IMPORTRANGE(""https://docs.google.com/spreadsheets/d/1xsp01RMmkav9iTy39Zaj_7tE9677EGlOJ14KU9TZn7I/"",""2003-2017!AC801"")"),4960.0921629277)</f>
        <v>4960.0921629277</v>
      </c>
      <c r="G292" s="69" t="s">
        <v>8</v>
      </c>
      <c r="K292" s="18"/>
      <c r="L292" s="2"/>
      <c r="M292" s="11"/>
      <c r="N292" s="11"/>
      <c r="O292" s="11"/>
      <c r="P292" s="11"/>
      <c r="Q292" s="1"/>
    </row>
    <row r="293" spans="1:17" ht="13.2" x14ac:dyDescent="0.25">
      <c r="A293" s="85" t="s">
        <v>265</v>
      </c>
      <c r="B293" s="86">
        <v>404</v>
      </c>
      <c r="C293" s="78">
        <f>89251.1/1000</f>
        <v>89.251100000000008</v>
      </c>
      <c r="D293" s="87">
        <f ca="1">IFERROR(__xludf.DUMMYFUNCTION("C287*IMPORTRANGE(""https://docs.google.com/spreadsheets/d/1xsp01RMmkav9iTy39Zaj_7tE9677EGlOJ14KU9TZn7I/"",""2003-2017!H824"")"),69.568554917)</f>
        <v>69.568554917</v>
      </c>
      <c r="E293" s="87">
        <f ca="1">IFERROR(__xludf.DUMMYFUNCTION("C287*IMPORTRANGE(""https://docs.google.com/spreadsheets/d/1xsp01RMmkav9iTy39Zaj_7tE9677EGlOJ14KU9TZn7I/"",""2003-2017!T824"")"),46.820234549)</f>
        <v>46.820234548999998</v>
      </c>
      <c r="F293" s="87">
        <f ca="1">IFERROR(__xludf.DUMMYFUNCTION("C287*IMPORTRANGE(""https://docs.google.com/spreadsheets/d/1xsp01RMmkav9iTy39Zaj_7tE9677EGlOJ14KU9TZn7I/"",""2003-2017!AC824"")"),10492.8054376233)</f>
        <v>10492.805437623299</v>
      </c>
      <c r="G293" s="64" t="s">
        <v>8</v>
      </c>
      <c r="K293" s="18"/>
      <c r="L293" s="2"/>
      <c r="M293" s="11"/>
      <c r="N293" s="11"/>
      <c r="O293" s="11"/>
      <c r="P293" s="11"/>
      <c r="Q293" s="1"/>
    </row>
    <row r="294" spans="1:17" ht="13.2" x14ac:dyDescent="0.25">
      <c r="A294" s="88" t="s">
        <v>266</v>
      </c>
      <c r="B294" s="89">
        <v>657</v>
      </c>
      <c r="C294" s="84">
        <f>65560.1/1000</f>
        <v>65.560100000000006</v>
      </c>
      <c r="D294" s="90">
        <f ca="1">IFERROR(__xludf.DUMMYFUNCTION("C288*IMPORTRANGE(""https://docs.google.com/spreadsheets/d/1xsp01RMmkav9iTy39Zaj_7tE9677EGlOJ14KU9TZn7I/"",""2003-2017!H846"")"),49.674232169)</f>
        <v>49.674232169</v>
      </c>
      <c r="E294" s="90">
        <f ca="1">IFERROR(__xludf.DUMMYFUNCTION("C288*IMPORTRANGE(""https://docs.google.com/spreadsheets/d/1xsp01RMmkav9iTy39Zaj_7tE9677EGlOJ14KU9TZn7I/"",""2003-2017!T846"")"),33.411393763)</f>
        <v>33.411393763</v>
      </c>
      <c r="F294" s="90">
        <f ca="1">IFERROR(__xludf.DUMMYFUNCTION("C288*IMPORTRANGE(""https://docs.google.com/spreadsheets/d/1xsp01RMmkav9iTy39Zaj_7tE9677EGlOJ14KU9TZn7I/"",""2003-2017!AC846"")"),7736.7475321202)</f>
        <v>7736.7475321202</v>
      </c>
      <c r="G294" s="69" t="s">
        <v>8</v>
      </c>
      <c r="K294" s="18"/>
      <c r="L294" s="2"/>
      <c r="M294" s="11"/>
      <c r="N294" s="11"/>
      <c r="O294" s="11"/>
      <c r="P294" s="11"/>
      <c r="Q294" s="1"/>
    </row>
    <row r="295" spans="1:17" ht="13.2" x14ac:dyDescent="0.25">
      <c r="A295" s="56">
        <v>2007</v>
      </c>
      <c r="B295" s="57"/>
      <c r="C295" s="60"/>
      <c r="D295" s="60"/>
      <c r="E295" s="60"/>
      <c r="F295" s="60"/>
      <c r="G295" s="59"/>
      <c r="K295" s="18"/>
      <c r="L295" s="2"/>
      <c r="M295" s="11"/>
      <c r="N295" s="11"/>
      <c r="O295" s="11"/>
      <c r="P295" s="11"/>
      <c r="Q295" s="1"/>
    </row>
    <row r="296" spans="1:17" ht="13.2" x14ac:dyDescent="0.25">
      <c r="A296" s="85" t="s">
        <v>267</v>
      </c>
      <c r="B296" s="86">
        <v>422</v>
      </c>
      <c r="C296" s="78">
        <f>33542.7/1000</f>
        <v>33.542699999999996</v>
      </c>
      <c r="D296" s="87">
        <f ca="1">IFERROR(__xludf.DUMMYFUNCTION("C290*IMPORTRANGE(""https://docs.google.com/spreadsheets/d/1xsp01RMmkav9iTy39Zaj_7tE9677EGlOJ14KU9TZn7I/"",""2003-2017!H871"")"),25.8758450609999)</f>
        <v>25.8758450609999</v>
      </c>
      <c r="E296" s="87">
        <f ca="1">IFERROR(__xludf.DUMMYFUNCTION("C290*IMPORTRANGE(""https://docs.google.com/spreadsheets/d/1xsp01RMmkav9iTy39Zaj_7tE9677EGlOJ14KU9TZn7I/"",""2003-2017!T871"")"),17.095372482)</f>
        <v>17.095372481999998</v>
      </c>
      <c r="F296" s="87">
        <f ca="1">IFERROR(__xludf.DUMMYFUNCTION("C290*IMPORTRANGE(""https://docs.google.com/spreadsheets/d/1xsp01RMmkav9iTy39Zaj_7tE9677EGlOJ14KU9TZn7I/"",""2003-2017!AC871"")"),4045.92057462809)</f>
        <v>4045.92057462809</v>
      </c>
      <c r="G296" s="64" t="s">
        <v>8</v>
      </c>
      <c r="K296" s="18"/>
      <c r="L296" s="2"/>
      <c r="M296" s="11"/>
      <c r="N296" s="11"/>
      <c r="O296" s="11"/>
      <c r="P296" s="11"/>
      <c r="Q296" s="1"/>
    </row>
    <row r="297" spans="1:17" ht="13.2" x14ac:dyDescent="0.25">
      <c r="A297" s="88" t="s">
        <v>268</v>
      </c>
      <c r="B297" s="89">
        <v>384</v>
      </c>
      <c r="C297" s="84">
        <f>36573.9/1000</f>
        <v>36.573900000000002</v>
      </c>
      <c r="D297" s="90">
        <f ca="1">IFERROR(__xludf.DUMMYFUNCTION("C291*IMPORTRANGE(""https://docs.google.com/spreadsheets/d/1xsp01RMmkav9iTy39Zaj_7tE9677EGlOJ14KU9TZn7I/"",""2003-2017!H892"")"),27.855047979)</f>
        <v>27.855047978999998</v>
      </c>
      <c r="E297" s="90">
        <f ca="1">IFERROR(__xludf.DUMMYFUNCTION("C291*IMPORTRANGE(""https://docs.google.com/spreadsheets/d/1xsp01RMmkav9iTy39Zaj_7tE9677EGlOJ14KU9TZn7I/"",""2003-2017!T892"")"),18.6435455249999)</f>
        <v>18.643545524999901</v>
      </c>
      <c r="F297" s="90">
        <f ca="1">IFERROR(__xludf.DUMMYFUNCTION("C291*IMPORTRANGE(""https://docs.google.com/spreadsheets/d/1xsp01RMmkav9iTy39Zaj_7tE9677EGlOJ14KU9TZn7I/"",""2003-2017!AC892"")"),4411.2694771761)</f>
        <v>4411.2694771760998</v>
      </c>
      <c r="G297" s="69" t="s">
        <v>8</v>
      </c>
      <c r="K297" s="18"/>
      <c r="L297" s="2"/>
      <c r="M297" s="11"/>
      <c r="N297" s="11"/>
      <c r="O297" s="11"/>
      <c r="P297" s="11"/>
      <c r="Q297" s="1"/>
    </row>
    <row r="298" spans="1:17" ht="13.2" x14ac:dyDescent="0.25">
      <c r="A298" s="85" t="s">
        <v>269</v>
      </c>
      <c r="B298" s="86">
        <v>479</v>
      </c>
      <c r="C298" s="78">
        <f>69009.4/1000</f>
        <v>69.009399999999999</v>
      </c>
      <c r="D298" s="87">
        <f ca="1">IFERROR(__xludf.DUMMYFUNCTION("C292*IMPORTRANGE(""https://docs.google.com/spreadsheets/d/1xsp01RMmkav9iTy39Zaj_7tE9677EGlOJ14KU9TZn7I/"",""2003-2017!H915"")"),51.925777983)</f>
        <v>51.925777983000003</v>
      </c>
      <c r="E298" s="87">
        <f ca="1">IFERROR(__xludf.DUMMYFUNCTION("C292*IMPORTRANGE(""https://docs.google.com/spreadsheets/d/1xsp01RMmkav9iTy39Zaj_7tE9677EGlOJ14KU9TZn7I/"",""2003-2017!T915"")"),35.491189373)</f>
        <v>35.491189372999997</v>
      </c>
      <c r="F298" s="87">
        <f ca="1">IFERROR(__xludf.DUMMYFUNCTION("C292*IMPORTRANGE(""https://docs.google.com/spreadsheets/d/1xsp01RMmkav9iTy39Zaj_7tE9677EGlOJ14KU9TZn7I/"",""2003-2017!AC915"")"),8097.2181560282)</f>
        <v>8097.2181560281997</v>
      </c>
      <c r="G298" s="64" t="s">
        <v>8</v>
      </c>
      <c r="K298" s="18"/>
      <c r="L298" s="2"/>
      <c r="M298" s="11"/>
      <c r="N298" s="11"/>
      <c r="O298" s="11"/>
      <c r="P298" s="11"/>
      <c r="Q298" s="1"/>
    </row>
    <row r="299" spans="1:17" ht="13.2" x14ac:dyDescent="0.25">
      <c r="A299" s="88" t="s">
        <v>270</v>
      </c>
      <c r="B299" s="89">
        <v>481</v>
      </c>
      <c r="C299" s="84">
        <f>146380.2/1000</f>
        <v>146.3802</v>
      </c>
      <c r="D299" s="90">
        <f ca="1">IFERROR(__xludf.DUMMYFUNCTION("C293*IMPORTRANGE(""https://docs.google.com/spreadsheets/d/1xsp01RMmkav9iTy39Zaj_7tE9677EGlOJ14KU9TZn7I/"",""2003-2017!H937"")"),108.19692483)</f>
        <v>108.19692483</v>
      </c>
      <c r="E299" s="90">
        <f ca="1">IFERROR(__xludf.DUMMYFUNCTION("C293*IMPORTRANGE(""https://docs.google.com/spreadsheets/d/1xsp01RMmkav9iTy39Zaj_7tE9677EGlOJ14KU9TZn7I/"",""2003-2017!T937"")"),73.6058197679999)</f>
        <v>73.605819767999904</v>
      </c>
      <c r="F299" s="90">
        <f ca="1">IFERROR(__xludf.DUMMYFUNCTION("C293*IMPORTRANGE(""https://docs.google.com/spreadsheets/d/1xsp01RMmkav9iTy39Zaj_7tE9677EGlOJ14KU9TZn7I/"",""2003-2017!AC937"")"),17411.9243508594)</f>
        <v>17411.924350859401</v>
      </c>
      <c r="G299" s="69" t="s">
        <v>8</v>
      </c>
      <c r="K299" s="18"/>
      <c r="L299" s="2"/>
      <c r="M299" s="11"/>
      <c r="N299" s="11"/>
      <c r="O299" s="11"/>
      <c r="P299" s="11"/>
      <c r="Q299" s="1"/>
    </row>
    <row r="300" spans="1:17" ht="13.2" x14ac:dyDescent="0.25">
      <c r="A300" s="85" t="s">
        <v>271</v>
      </c>
      <c r="B300" s="86">
        <v>488</v>
      </c>
      <c r="C300" s="78">
        <f>90475.6/1000</f>
        <v>90.4756</v>
      </c>
      <c r="D300" s="87">
        <f ca="1">IFERROR(__xludf.DUMMYFUNCTION("C294*IMPORTRANGE(""https://docs.google.com/spreadsheets/d/1xsp01RMmkav9iTy39Zaj_7tE9677EGlOJ14KU9TZn7I/"",""2003-2017!H961"")"),66.954658268)</f>
        <v>66.954658268000003</v>
      </c>
      <c r="E300" s="87">
        <f ca="1">IFERROR(__xludf.DUMMYFUNCTION("C294*IMPORTRANGE(""https://docs.google.com/spreadsheets/d/1xsp01RMmkav9iTy39Zaj_7tE9677EGlOJ14KU9TZn7I/"",""2003-2017!T961"")"),45.632273616)</f>
        <v>45.632273615999999</v>
      </c>
      <c r="F300" s="87">
        <f ca="1">IFERROR(__xludf.DUMMYFUNCTION("C294*IMPORTRANGE(""https://docs.google.com/spreadsheets/d/1xsp01RMmkav9iTy39Zaj_7tE9677EGlOJ14KU9TZn7I/"",""2003-2017!AC961"")"),10922.2145224756)</f>
        <v>10922.2145224756</v>
      </c>
      <c r="G300" s="64" t="s">
        <v>8</v>
      </c>
      <c r="K300" s="18"/>
      <c r="L300" s="2"/>
      <c r="M300" s="11"/>
      <c r="N300" s="11"/>
      <c r="O300" s="11"/>
      <c r="P300" s="11"/>
      <c r="Q300" s="1"/>
    </row>
    <row r="301" spans="1:17" ht="13.2" x14ac:dyDescent="0.25">
      <c r="A301" s="88" t="s">
        <v>272</v>
      </c>
      <c r="B301" s="89">
        <v>510</v>
      </c>
      <c r="C301" s="84">
        <f>54497.9/1000</f>
        <v>54.497900000000001</v>
      </c>
      <c r="D301" s="90">
        <f ca="1">IFERROR(__xludf.DUMMYFUNCTION("C295*IMPORTRANGE(""https://docs.google.com/spreadsheets/d/1xsp01RMmkav9iTy39Zaj_7tE9677EGlOJ14KU9TZn7I/"",""2003-2017!H983"")"),40.585131109)</f>
        <v>40.585131109000002</v>
      </c>
      <c r="E301" s="90">
        <f ca="1">IFERROR(__xludf.DUMMYFUNCTION("C295*IMPORTRANGE(""https://docs.google.com/spreadsheets/d/1xsp01RMmkav9iTy39Zaj_7tE9677EGlOJ14KU9TZn7I/"",""2003-2017!T983"")"),27.3639405689999)</f>
        <v>27.363940568999901</v>
      </c>
      <c r="F301" s="90">
        <f ca="1">IFERROR(__xludf.DUMMYFUNCTION("C295*IMPORTRANGE(""https://docs.google.com/spreadsheets/d/1xsp01RMmkav9iTy39Zaj_7tE9677EGlOJ14KU9TZn7I/"",""2003-2017!AC983"")"),6705.4216704979)</f>
        <v>6705.4216704978999</v>
      </c>
      <c r="G301" s="69" t="s">
        <v>8</v>
      </c>
      <c r="K301" s="18"/>
      <c r="L301" s="2"/>
      <c r="M301" s="11"/>
      <c r="N301" s="11"/>
      <c r="O301" s="11"/>
      <c r="P301" s="11"/>
      <c r="Q301" s="1"/>
    </row>
    <row r="302" spans="1:17" ht="13.2" x14ac:dyDescent="0.25">
      <c r="A302" s="85" t="s">
        <v>273</v>
      </c>
      <c r="B302" s="86">
        <v>451</v>
      </c>
      <c r="C302" s="78">
        <f>93245.7/1000</f>
        <v>93.245699999999999</v>
      </c>
      <c r="D302" s="87">
        <f ca="1">IFERROR(__xludf.DUMMYFUNCTION("C296*IMPORTRANGE(""https://docs.google.com/spreadsheets/d/1xsp01RMmkav9iTy39Zaj_7tE9677EGlOJ14KU9TZn7I/"",""2003-2017!H1006"")"),67.8050094405)</f>
        <v>67.805009440500001</v>
      </c>
      <c r="E302" s="87">
        <f ca="1">IFERROR(__xludf.DUMMYFUNCTION("C296*IMPORTRANGE(""https://docs.google.com/spreadsheets/d/1xsp01RMmkav9iTy39Zaj_7tE9677EGlOJ14KU9TZn7I/"",""2003-2017!T1006"")"),45.912317766)</f>
        <v>45.912317766000001</v>
      </c>
      <c r="F302" s="87">
        <f ca="1">IFERROR(__xludf.DUMMYFUNCTION("C296*IMPORTRANGE(""https://docs.google.com/spreadsheets/d/1xsp01RMmkav9iTy39Zaj_7tE9677EGlOJ14KU9TZn7I/"",""2003-2017!AC1006"")"),11366.6510164914)</f>
        <v>11366.6510164914</v>
      </c>
      <c r="G302" s="64" t="s">
        <v>8</v>
      </c>
      <c r="K302" s="18"/>
      <c r="L302" s="2"/>
      <c r="M302" s="11"/>
      <c r="N302" s="11"/>
      <c r="O302" s="11"/>
      <c r="P302" s="11"/>
      <c r="Q302" s="1"/>
    </row>
    <row r="303" spans="1:17" ht="13.2" x14ac:dyDescent="0.25">
      <c r="A303" s="88" t="s">
        <v>274</v>
      </c>
      <c r="B303" s="89">
        <v>411</v>
      </c>
      <c r="C303" s="84">
        <f>30977.7/1000</f>
        <v>30.977700000000002</v>
      </c>
      <c r="D303" s="90">
        <f ca="1">IFERROR(__xludf.DUMMYFUNCTION("C297*IMPORTRANGE(""https://docs.google.com/spreadsheets/d/1xsp01RMmkav9iTy39Zaj_7tE9677EGlOJ14KU9TZn7I/"",""2003-2017!H1030"")"),22.707583431)</f>
        <v>22.707583431</v>
      </c>
      <c r="E303" s="90">
        <f ca="1">IFERROR(__xludf.DUMMYFUNCTION("C297*IMPORTRANGE(""https://docs.google.com/spreadsheets/d/1xsp01RMmkav9iTy39Zaj_7tE9677EGlOJ14KU9TZn7I/"",""2003-2017!T1030"")"),15.384145374)</f>
        <v>15.384145373999999</v>
      </c>
      <c r="F303" s="90">
        <f ca="1">IFERROR(__xludf.DUMMYFUNCTION("C297*IMPORTRANGE(""https://docs.google.com/spreadsheets/d/1xsp01RMmkav9iTy39Zaj_7tE9677EGlOJ14KU9TZn7I/"",""2003-2017!AC1030"")"),3603.326064)</f>
        <v>3603.3260639999999</v>
      </c>
      <c r="G303" s="69" t="s">
        <v>8</v>
      </c>
      <c r="K303" s="18"/>
      <c r="L303" s="2"/>
      <c r="M303" s="11"/>
      <c r="N303" s="11"/>
      <c r="O303" s="11"/>
      <c r="P303" s="11"/>
      <c r="Q303" s="1"/>
    </row>
    <row r="304" spans="1:17" ht="13.2" x14ac:dyDescent="0.25">
      <c r="A304" s="85" t="s">
        <v>275</v>
      </c>
      <c r="B304" s="86">
        <v>405</v>
      </c>
      <c r="C304" s="78">
        <f>25807.5/1000</f>
        <v>25.807500000000001</v>
      </c>
      <c r="D304" s="87">
        <f ca="1">IFERROR(__xludf.DUMMYFUNCTION("C298*IMPORTRANGE(""https://docs.google.com/spreadsheets/d/1xsp01RMmkav9iTy39Zaj_7tE9677EGlOJ14KU9TZn7I/"",""2003-2017!H1051"")"),18.555850575)</f>
        <v>18.555850575000001</v>
      </c>
      <c r="E304" s="87">
        <f ca="1">IFERROR(__xludf.DUMMYFUNCTION("C298*IMPORTRANGE(""https://docs.google.com/spreadsheets/d/1xsp01RMmkav9iTy39Zaj_7tE9677EGlOJ14KU9TZn7I/"",""2003-2017!T1051"")"),12.7829709)</f>
        <v>12.7829709</v>
      </c>
      <c r="F304" s="87">
        <f ca="1">IFERROR(__xludf.DUMMYFUNCTION("C298*IMPORTRANGE(""https://docs.google.com/spreadsheets/d/1xsp01RMmkav9iTy39Zaj_7tE9677EGlOJ14KU9TZn7I/"",""2003-2017!AC1051"")"),2970.9594774225)</f>
        <v>2970.9594774225002</v>
      </c>
      <c r="G304" s="64" t="s">
        <v>8</v>
      </c>
      <c r="K304" s="18"/>
      <c r="L304" s="2"/>
      <c r="M304" s="11"/>
      <c r="N304" s="11"/>
      <c r="O304" s="11"/>
      <c r="P304" s="11"/>
      <c r="Q304" s="1"/>
    </row>
    <row r="305" spans="1:17" ht="13.2" x14ac:dyDescent="0.25">
      <c r="A305" s="88" t="s">
        <v>276</v>
      </c>
      <c r="B305" s="89">
        <v>471</v>
      </c>
      <c r="C305" s="84">
        <f>32014.6/1000</f>
        <v>32.014600000000002</v>
      </c>
      <c r="D305" s="90">
        <f ca="1">IFERROR(__xludf.DUMMYFUNCTION("C299*IMPORTRANGE(""https://docs.google.com/spreadsheets/d/1xsp01RMmkav9iTy39Zaj_7tE9677EGlOJ14KU9TZn7I/"",""2003-2017!H1075"")"),22.539238838)</f>
        <v>22.539238837999999</v>
      </c>
      <c r="E305" s="90">
        <f ca="1">IFERROR(__xludf.DUMMYFUNCTION("C299*IMPORTRANGE(""https://docs.google.com/spreadsheets/d/1xsp01RMmkav9iTy39Zaj_7tE9677EGlOJ14KU9TZn7I/"",""2003-2017!T1075"")"),15.674988452)</f>
        <v>15.674988451999999</v>
      </c>
      <c r="F305" s="90">
        <f ca="1">IFERROR(__xludf.DUMMYFUNCTION("C299*IMPORTRANGE(""https://docs.google.com/spreadsheets/d/1xsp01RMmkav9iTy39Zaj_7tE9677EGlOJ14KU9TZn7I/"",""2003-2017!AC1075"")"),3707.2907760438)</f>
        <v>3707.2907760438002</v>
      </c>
      <c r="G305" s="69" t="s">
        <v>8</v>
      </c>
      <c r="K305" s="18"/>
      <c r="L305" s="2"/>
      <c r="M305" s="11"/>
      <c r="N305" s="11"/>
      <c r="O305" s="11"/>
      <c r="P305" s="11"/>
      <c r="Q305" s="1"/>
    </row>
    <row r="306" spans="1:17" ht="13.2" x14ac:dyDescent="0.25">
      <c r="A306" s="85" t="s">
        <v>277</v>
      </c>
      <c r="B306" s="86">
        <v>452</v>
      </c>
      <c r="C306" s="78">
        <f>35129.5/1000</f>
        <v>35.1295</v>
      </c>
      <c r="D306" s="87">
        <f ca="1">IFERROR(__xludf.DUMMYFUNCTION("C300*IMPORTRANGE(""https://docs.google.com/spreadsheets/d/1xsp01RMmkav9iTy39Zaj_7tE9677EGlOJ14KU9TZn7I/"",""2003-2017!H1098"")"),23.948131445)</f>
        <v>23.948131445000001</v>
      </c>
      <c r="E306" s="87">
        <f ca="1">IFERROR(__xludf.DUMMYFUNCTION("C300*IMPORTRANGE(""https://docs.google.com/spreadsheets/d/1xsp01RMmkav9iTy39Zaj_7tE9677EGlOJ14KU9TZn7I/"",""2003-2017!T1098"")"),17.002678)</f>
        <v>17.002678</v>
      </c>
      <c r="F306" s="87">
        <f ca="1">IFERROR(__xludf.DUMMYFUNCTION("C300*IMPORTRANGE(""https://docs.google.com/spreadsheets/d/1xsp01RMmkav9iTy39Zaj_7tE9677EGlOJ14KU9TZn7I/"",""2003-2017!AC1098"")"),3887.430610518)</f>
        <v>3887.4306105179999</v>
      </c>
      <c r="G306" s="64" t="s">
        <v>8</v>
      </c>
      <c r="K306" s="18"/>
      <c r="L306" s="2"/>
      <c r="M306" s="11"/>
      <c r="N306" s="11"/>
      <c r="O306" s="11"/>
      <c r="P306" s="11"/>
      <c r="Q306" s="1"/>
    </row>
    <row r="307" spans="1:17" ht="13.2" x14ac:dyDescent="0.25">
      <c r="A307" s="88" t="s">
        <v>278</v>
      </c>
      <c r="B307" s="89">
        <v>667</v>
      </c>
      <c r="C307" s="84">
        <f>59813.6/1000</f>
        <v>59.813600000000001</v>
      </c>
      <c r="D307" s="90">
        <f ca="1">IFERROR(__xludf.DUMMYFUNCTION("C301*IMPORTRANGE(""https://docs.google.com/spreadsheets/d/1xsp01RMmkav9iTy39Zaj_7tE9677EGlOJ14KU9TZn7I/"",""2003-2017!H1120"")"),40.947194288)</f>
        <v>40.947194287999999</v>
      </c>
      <c r="E307" s="90">
        <f ca="1">IFERROR(__xludf.DUMMYFUNCTION("C301*IMPORTRANGE(""https://docs.google.com/spreadsheets/d/1xsp01RMmkav9iTy39Zaj_7tE9677EGlOJ14KU9TZn7I/"",""2003-2017!T1120"")"),29.590386056)</f>
        <v>29.590386056</v>
      </c>
      <c r="F307" s="90">
        <f ca="1">IFERROR(__xludf.DUMMYFUNCTION("C301*IMPORTRANGE(""https://docs.google.com/spreadsheets/d/1xsp01RMmkav9iTy39Zaj_7tE9677EGlOJ14KU9TZn7I/"",""2003-2017!AC1120"")"),6719.4598539068)</f>
        <v>6719.4598539068002</v>
      </c>
      <c r="G307" s="69" t="s">
        <v>8</v>
      </c>
      <c r="K307" s="18"/>
      <c r="L307" s="2"/>
      <c r="M307" s="11"/>
      <c r="N307" s="11"/>
      <c r="O307" s="11"/>
      <c r="P307" s="11"/>
      <c r="Q307" s="1"/>
    </row>
    <row r="308" spans="1:17" ht="13.2" x14ac:dyDescent="0.25">
      <c r="A308" s="56">
        <v>2008</v>
      </c>
      <c r="B308" s="57"/>
      <c r="C308" s="60"/>
      <c r="D308" s="60"/>
      <c r="E308" s="60"/>
      <c r="F308" s="60"/>
      <c r="G308" s="59"/>
      <c r="K308" s="18"/>
      <c r="L308" s="2"/>
      <c r="M308" s="11"/>
      <c r="N308" s="11"/>
      <c r="O308" s="11"/>
      <c r="P308" s="11"/>
      <c r="Q308" s="1"/>
    </row>
    <row r="309" spans="1:17" ht="13.2" x14ac:dyDescent="0.25">
      <c r="A309" s="85" t="s">
        <v>279</v>
      </c>
      <c r="B309" s="86">
        <v>461</v>
      </c>
      <c r="C309" s="78">
        <f>25457.1/1000</f>
        <v>25.457099999999997</v>
      </c>
      <c r="D309" s="87">
        <f ca="1">IFERROR(__xludf.DUMMYFUNCTION("C303*IMPORTRANGE(""https://docs.google.com/spreadsheets/d/1xsp01RMmkav9iTy39Zaj_7tE9677EGlOJ14KU9TZn7I/"",""2003-2017!H1145"")"),17.26500522)</f>
        <v>17.265005219999999</v>
      </c>
      <c r="E309" s="87">
        <f ca="1">IFERROR(__xludf.DUMMYFUNCTION("C303*IMPORTRANGE(""https://docs.google.com/spreadsheets/d/1xsp01RMmkav9iTy39Zaj_7tE9677EGlOJ14KU9TZn7I/"",""2003-2017!T1145"")"),12.9030584205)</f>
        <v>12.903058420500001</v>
      </c>
      <c r="F309" s="87">
        <f ca="1">IFERROR(__xludf.DUMMYFUNCTION("C303*IMPORTRANGE(""https://docs.google.com/spreadsheets/d/1xsp01RMmkav9iTy39Zaj_7tE9677EGlOJ14KU9TZn7I/"",""2003-2017!AC1145"")"),2727.7283159142)</f>
        <v>2727.7283159141998</v>
      </c>
      <c r="G309" s="64" t="s">
        <v>8</v>
      </c>
      <c r="K309" s="18"/>
      <c r="L309" s="2"/>
      <c r="M309" s="11"/>
      <c r="N309" s="11"/>
      <c r="O309" s="11"/>
      <c r="P309" s="11"/>
      <c r="Q309" s="1"/>
    </row>
    <row r="310" spans="1:17" ht="13.2" x14ac:dyDescent="0.25">
      <c r="A310" s="88" t="s">
        <v>280</v>
      </c>
      <c r="B310" s="89">
        <v>477</v>
      </c>
      <c r="C310" s="84">
        <f>60542.4/1000</f>
        <v>60.542400000000001</v>
      </c>
      <c r="D310" s="90">
        <f ca="1">IFERROR(__xludf.DUMMYFUNCTION("C304*IMPORTRANGE(""https://docs.google.com/spreadsheets/d/1xsp01RMmkav9iTy39Zaj_7tE9677EGlOJ14KU9TZn7I/"",""2003-2017!H1167"")"),41.101629936)</f>
        <v>41.101629936000002</v>
      </c>
      <c r="E310" s="90">
        <f ca="1">IFERROR(__xludf.DUMMYFUNCTION("C304*IMPORTRANGE(""https://docs.google.com/spreadsheets/d/1xsp01RMmkav9iTy39Zaj_7tE9677EGlOJ14KU9TZn7I/"",""2003-2017!T1167"")"),30.829400928)</f>
        <v>30.829400927999998</v>
      </c>
      <c r="F310" s="90">
        <f ca="1">IFERROR(__xludf.DUMMYFUNCTION("C304*IMPORTRANGE(""https://docs.google.com/spreadsheets/d/1xsp01RMmkav9iTy39Zaj_7tE9677EGlOJ14KU9TZn7I/"",""2003-2017!AC1167"")"),6498.6209738304)</f>
        <v>6498.6209738303996</v>
      </c>
      <c r="G310" s="69" t="s">
        <v>8</v>
      </c>
      <c r="K310" s="18"/>
      <c r="L310" s="2"/>
      <c r="M310" s="11"/>
      <c r="N310" s="11"/>
      <c r="O310" s="11"/>
      <c r="P310" s="11"/>
      <c r="Q310" s="1"/>
    </row>
    <row r="311" spans="1:17" ht="13.2" x14ac:dyDescent="0.25">
      <c r="A311" s="85" t="s">
        <v>281</v>
      </c>
      <c r="B311" s="86">
        <v>500</v>
      </c>
      <c r="C311" s="78">
        <f>39066.5/1000</f>
        <v>39.066499999999998</v>
      </c>
      <c r="D311" s="87">
        <f ca="1">IFERROR(__xludf.DUMMYFUNCTION("C305*IMPORTRANGE(""https://docs.google.com/spreadsheets/d/1xsp01RMmkav9iTy39Zaj_7tE9677EGlOJ14KU9TZn7I/"",""2003-2017!H1189"")"),25.023265245)</f>
        <v>25.023265245000001</v>
      </c>
      <c r="E311" s="87">
        <f ca="1">IFERROR(__xludf.DUMMYFUNCTION("C305*IMPORTRANGE(""https://docs.google.com/spreadsheets/d/1xsp01RMmkav9iTy39Zaj_7tE9677EGlOJ14KU9TZn7I/"",""2003-2017!T1189"")"),19.507856775)</f>
        <v>19.507856775</v>
      </c>
      <c r="F311" s="87">
        <f ca="1">IFERROR(__xludf.DUMMYFUNCTION("C305*IMPORTRANGE(""https://docs.google.com/spreadsheets/d/1xsp01RMmkav9iTy39Zaj_7tE9677EGlOJ14KU9TZn7I/"",""2003-2017!AC1189"")"),3909.77539813299)</f>
        <v>3909.7753981329902</v>
      </c>
      <c r="G311" s="64" t="s">
        <v>8</v>
      </c>
      <c r="K311" s="18"/>
      <c r="L311" s="2"/>
      <c r="M311" s="11"/>
      <c r="N311" s="11"/>
      <c r="O311" s="11"/>
      <c r="P311" s="11"/>
      <c r="Q311" s="1"/>
    </row>
    <row r="312" spans="1:17" ht="13.2" x14ac:dyDescent="0.25">
      <c r="A312" s="88" t="s">
        <v>282</v>
      </c>
      <c r="B312" s="89">
        <v>490</v>
      </c>
      <c r="C312" s="84">
        <f>19675.1/1000</f>
        <v>19.675099999999997</v>
      </c>
      <c r="D312" s="90">
        <f ca="1">IFERROR(__xludf.DUMMYFUNCTION("C306*IMPORTRANGE(""https://docs.google.com/spreadsheets/d/1xsp01RMmkav9iTy39Zaj_7tE9677EGlOJ14KU9TZn7I/"",""2003-2017!H1211"")"),12.5025422949999)</f>
        <v>12.5025422949999</v>
      </c>
      <c r="E312" s="90">
        <f ca="1">IFERROR(__xludf.DUMMYFUNCTION("C306*IMPORTRANGE(""https://docs.google.com/spreadsheets/d/1xsp01RMmkav9iTy39Zaj_7tE9677EGlOJ14KU9TZn7I/"",""2003-2017!T1211"")"),9.92530094599999)</f>
        <v>9.9253009459999895</v>
      </c>
      <c r="F312" s="90">
        <f ca="1">IFERROR(__xludf.DUMMYFUNCTION("C306*IMPORTRANGE(""https://docs.google.com/spreadsheets/d/1xsp01RMmkav9iTy39Zaj_7tE9677EGlOJ14KU9TZn7I/"",""2003-2017!AC1211"")"),2016.30430702529)</f>
        <v>2016.30430702529</v>
      </c>
      <c r="G312" s="69" t="s">
        <v>8</v>
      </c>
      <c r="K312" s="18"/>
      <c r="L312" s="2"/>
      <c r="M312" s="11"/>
      <c r="N312" s="11"/>
      <c r="O312" s="11"/>
      <c r="P312" s="11"/>
      <c r="Q312" s="1"/>
    </row>
    <row r="313" spans="1:17" ht="13.2" x14ac:dyDescent="0.25">
      <c r="A313" s="85" t="s">
        <v>283</v>
      </c>
      <c r="B313" s="86">
        <v>434</v>
      </c>
      <c r="C313" s="78">
        <f>27187.8/1000</f>
        <v>27.187799999999999</v>
      </c>
      <c r="D313" s="87">
        <f ca="1">IFERROR(__xludf.DUMMYFUNCTION("C307*IMPORTRANGE(""https://docs.google.com/spreadsheets/d/1xsp01RMmkav9iTy39Zaj_7tE9677EGlOJ14KU9TZn7I/"",""2003-2017!H1233"")"),17.499971226)</f>
        <v>17.499971226</v>
      </c>
      <c r="E313" s="87">
        <f ca="1">IFERROR(__xludf.DUMMYFUNCTION("C307*IMPORTRANGE(""https://docs.google.com/spreadsheets/d/1xsp01RMmkav9iTy39Zaj_7tE9677EGlOJ14KU9TZn7I/"",""2003-2017!T1233"")"),13.7910115499999)</f>
        <v>13.791011549999901</v>
      </c>
      <c r="F313" s="87">
        <f ca="1">IFERROR(__xludf.DUMMYFUNCTION("C307*IMPORTRANGE(""https://docs.google.com/spreadsheets/d/1xsp01RMmkav9iTy39Zaj_7tE9677EGlOJ14KU9TZn7I/"",""2003-2017!AC1233"")"),2844.38771756339)</f>
        <v>2844.3877175633902</v>
      </c>
      <c r="G313" s="64" t="s">
        <v>8</v>
      </c>
      <c r="K313" s="18"/>
      <c r="L313" s="2"/>
      <c r="M313" s="11"/>
      <c r="N313" s="11"/>
      <c r="O313" s="11"/>
      <c r="P313" s="11"/>
      <c r="Q313" s="1"/>
    </row>
    <row r="314" spans="1:17" ht="13.2" x14ac:dyDescent="0.25">
      <c r="A314" s="88" t="s">
        <v>284</v>
      </c>
      <c r="B314" s="89">
        <v>472</v>
      </c>
      <c r="C314" s="84">
        <f>70079/1000</f>
        <v>70.078999999999994</v>
      </c>
      <c r="D314" s="90">
        <f ca="1">IFERROR(__xludf.DUMMYFUNCTION("C308*IMPORTRANGE(""https://docs.google.com/spreadsheets/d/1xsp01RMmkav9iTy39Zaj_7tE9677EGlOJ14KU9TZn7I/"",""2003-2017!H1255"")"),45.0783167499999)</f>
        <v>45.0783167499999</v>
      </c>
      <c r="E314" s="90">
        <f ca="1">IFERROR(__xludf.DUMMYFUNCTION("C308*IMPORTRANGE(""https://docs.google.com/spreadsheets/d/1xsp01RMmkav9iTy39Zaj_7tE9677EGlOJ14KU9TZn7I/"",""2003-2017!T1255"")"),35.6561952)</f>
        <v>35.656195199999999</v>
      </c>
      <c r="F314" s="90">
        <f ca="1">IFERROR(__xludf.DUMMYFUNCTION("C308*IMPORTRANGE(""https://docs.google.com/spreadsheets/d/1xsp01RMmkav9iTy39Zaj_7tE9677EGlOJ14KU9TZn7I/"",""2003-2017!AC1255"")"),7520.17734984199)</f>
        <v>7520.1773498419898</v>
      </c>
      <c r="G314" s="69" t="s">
        <v>8</v>
      </c>
      <c r="K314" s="18"/>
      <c r="L314" s="2"/>
      <c r="M314" s="11"/>
      <c r="N314" s="11"/>
      <c r="O314" s="11"/>
      <c r="P314" s="11"/>
      <c r="Q314" s="1"/>
    </row>
    <row r="315" spans="1:17" ht="13.2" x14ac:dyDescent="0.25">
      <c r="A315" s="85" t="s">
        <v>285</v>
      </c>
      <c r="B315" s="86">
        <v>463</v>
      </c>
      <c r="C315" s="78">
        <f>46874.4/1000</f>
        <v>46.874400000000001</v>
      </c>
      <c r="D315" s="87">
        <f ca="1">IFERROR(__xludf.DUMMYFUNCTION("C309*IMPORTRANGE(""https://docs.google.com/spreadsheets/d/1xsp01RMmkav9iTy39Zaj_7tE9677EGlOJ14KU9TZn7I/"",""2003-2017!H1278"")"),29.783056272)</f>
        <v>29.783056272</v>
      </c>
      <c r="E315" s="87">
        <f ca="1">IFERROR(__xludf.DUMMYFUNCTION("C309*IMPORTRANGE(""https://docs.google.com/spreadsheets/d/1xsp01RMmkav9iTy39Zaj_7tE9677EGlOJ14KU9TZn7I/"",""2003-2017!T1278"")"),23.558370324)</f>
        <v>23.558370323999998</v>
      </c>
      <c r="F315" s="87">
        <f ca="1">IFERROR(__xludf.DUMMYFUNCTION("C309*IMPORTRANGE(""https://docs.google.com/spreadsheets/d/1xsp01RMmkav9iTy39Zaj_7tE9677EGlOJ14KU9TZn7I/"",""2003-2017!AC1278"")"),5015.9357717628)</f>
        <v>5015.9357717628</v>
      </c>
      <c r="G315" s="64" t="s">
        <v>8</v>
      </c>
      <c r="K315" s="18"/>
      <c r="L315" s="2"/>
      <c r="M315" s="11"/>
      <c r="N315" s="11"/>
      <c r="O315" s="11"/>
      <c r="P315" s="11"/>
      <c r="Q315" s="1"/>
    </row>
    <row r="316" spans="1:17" ht="13.2" x14ac:dyDescent="0.25">
      <c r="A316" s="88" t="s">
        <v>286</v>
      </c>
      <c r="B316" s="89">
        <v>376</v>
      </c>
      <c r="C316" s="84">
        <f>15818.5/1000</f>
        <v>15.8185</v>
      </c>
      <c r="D316" s="90">
        <f ca="1">IFERROR(__xludf.DUMMYFUNCTION("C310*IMPORTRANGE(""https://docs.google.com/spreadsheets/d/1xsp01RMmkav9iTy39Zaj_7tE9677EGlOJ14KU9TZn7I/"",""2003-2017!H1300"")"),10.75056897)</f>
        <v>10.75056897</v>
      </c>
      <c r="E316" s="90">
        <f ca="1">IFERROR(__xludf.DUMMYFUNCTION("C310*IMPORTRANGE(""https://docs.google.com/spreadsheets/d/1xsp01RMmkav9iTy39Zaj_7tE9677EGlOJ14KU9TZn7I/"",""2003-2017!T1300"")"),8.47365408)</f>
        <v>8.4736540799999993</v>
      </c>
      <c r="F316" s="90">
        <f ca="1">IFERROR(__xludf.DUMMYFUNCTION("C310*IMPORTRANGE(""https://docs.google.com/spreadsheets/d/1xsp01RMmkav9iTy39Zaj_7tE9677EGlOJ14KU9TZn7I/"",""2003-2017!AC1300"")"),1732.7585058185)</f>
        <v>1732.7585058185</v>
      </c>
      <c r="G316" s="69" t="s">
        <v>8</v>
      </c>
      <c r="K316" s="18"/>
      <c r="L316" s="2"/>
      <c r="M316" s="11"/>
      <c r="N316" s="11"/>
      <c r="O316" s="11"/>
      <c r="P316" s="11"/>
      <c r="Q316" s="1"/>
    </row>
    <row r="317" spans="1:17" ht="13.2" x14ac:dyDescent="0.25">
      <c r="A317" s="85" t="s">
        <v>287</v>
      </c>
      <c r="B317" s="86">
        <v>412</v>
      </c>
      <c r="C317" s="78">
        <f>44018/1000</f>
        <v>44.018000000000001</v>
      </c>
      <c r="D317" s="87">
        <f ca="1">IFERROR(__xludf.DUMMYFUNCTION("C311*IMPORTRANGE(""https://docs.google.com/spreadsheets/d/1xsp01RMmkav9iTy39Zaj_7tE9677EGlOJ14KU9TZn7I/"",""2003-2017!H1323"")"),30.65061376)</f>
        <v>30.650613759999999</v>
      </c>
      <c r="E317" s="87">
        <f ca="1">IFERROR(__xludf.DUMMYFUNCTION("C311*IMPORTRANGE(""https://docs.google.com/spreadsheets/d/1xsp01RMmkav9iTy39Zaj_7tE9677EGlOJ14KU9TZn7I/"",""2003-2017!T1323"")"),24.56622571)</f>
        <v>24.566225710000001</v>
      </c>
      <c r="F317" s="87">
        <f ca="1">IFERROR(__xludf.DUMMYFUNCTION("C311*IMPORTRANGE(""https://docs.google.com/spreadsheets/d/1xsp01RMmkav9iTy39Zaj_7tE9677EGlOJ14KU9TZn7I/"",""2003-2017!AC1323"")"),4689.017516027)</f>
        <v>4689.0175160270001</v>
      </c>
      <c r="G317" s="64" t="s">
        <v>8</v>
      </c>
      <c r="K317" s="18"/>
      <c r="L317" s="2"/>
      <c r="M317" s="11"/>
      <c r="N317" s="11"/>
      <c r="O317" s="11"/>
      <c r="P317" s="11"/>
      <c r="Q317" s="1"/>
    </row>
    <row r="318" spans="1:17" ht="13.2" x14ac:dyDescent="0.25">
      <c r="A318" s="88" t="s">
        <v>288</v>
      </c>
      <c r="B318" s="89">
        <v>383</v>
      </c>
      <c r="C318" s="84">
        <f>38200.3/1000</f>
        <v>38.200300000000006</v>
      </c>
      <c r="D318" s="90">
        <f ca="1">IFERROR(__xludf.DUMMYFUNCTION("C312*IMPORTRANGE(""https://docs.google.com/spreadsheets/d/1xsp01RMmkav9iTy39Zaj_7tE9677EGlOJ14KU9TZn7I/"",""2003-2017!H1347"")"),28.458841497)</f>
        <v>28.458841497000002</v>
      </c>
      <c r="E318" s="90">
        <f ca="1">IFERROR(__xludf.DUMMYFUNCTION("C312*IMPORTRANGE(""https://docs.google.com/spreadsheets/d/1xsp01RMmkav9iTy39Zaj_7tE9677EGlOJ14KU9TZn7I/"",""2003-2017!T1347"")"),22.299043122)</f>
        <v>22.299043122</v>
      </c>
      <c r="F318" s="90">
        <f ca="1">IFERROR(__xludf.DUMMYFUNCTION("C312*IMPORTRANGE(""https://docs.google.com/spreadsheets/d/1xsp01RMmkav9iTy39Zaj_7tE9677EGlOJ14KU9TZn7I/"",""2003-2017!AC1347"")"),3862.0502535994)</f>
        <v>3862.0502535994001</v>
      </c>
      <c r="G318" s="69" t="s">
        <v>8</v>
      </c>
      <c r="K318" s="18"/>
      <c r="L318" s="2"/>
      <c r="M318" s="11"/>
      <c r="N318" s="11"/>
      <c r="O318" s="11"/>
      <c r="P318" s="11"/>
      <c r="Q318" s="1"/>
    </row>
    <row r="319" spans="1:17" ht="13.2" x14ac:dyDescent="0.25">
      <c r="A319" s="85" t="s">
        <v>289</v>
      </c>
      <c r="B319" s="86">
        <v>325</v>
      </c>
      <c r="C319" s="78">
        <f>7898.9/1000</f>
        <v>7.8988999999999994</v>
      </c>
      <c r="D319" s="87">
        <f ca="1">IFERROR(__xludf.DUMMYFUNCTION("C313*IMPORTRANGE(""https://docs.google.com/spreadsheets/d/1xsp01RMmkav9iTy39Zaj_7tE9677EGlOJ14KU9TZn7I/"",""2003-2017!H1368"")"),6.221331618)</f>
        <v>6.2213316179999998</v>
      </c>
      <c r="E319" s="87">
        <f ca="1">IFERROR(__xludf.DUMMYFUNCTION("C313*IMPORTRANGE(""https://docs.google.com/spreadsheets/d/1xsp01RMmkav9iTy39Zaj_7tE9677EGlOJ14KU9TZn7I/"",""2003-2017!T1368"")"),5.14293429549999)</f>
        <v>5.1429342954999901</v>
      </c>
      <c r="F319" s="87">
        <f ca="1">IFERROR(__xludf.DUMMYFUNCTION("C313*IMPORTRANGE(""https://docs.google.com/spreadsheets/d/1xsp01RMmkav9iTy39Zaj_7tE9677EGlOJ14KU9TZn7I/"",""2003-2017!AC1368"")"),764.676730947249)</f>
        <v>764.67673094724898</v>
      </c>
      <c r="G319" s="64" t="s">
        <v>8</v>
      </c>
      <c r="K319" s="18"/>
      <c r="L319" s="2"/>
      <c r="M319" s="11"/>
      <c r="N319" s="11"/>
      <c r="O319" s="11"/>
      <c r="P319" s="11"/>
      <c r="Q319" s="1"/>
    </row>
    <row r="320" spans="1:17" ht="13.2" x14ac:dyDescent="0.25">
      <c r="A320" s="88" t="s">
        <v>290</v>
      </c>
      <c r="B320" s="89">
        <v>557</v>
      </c>
      <c r="C320" s="84">
        <f>29269/1000</f>
        <v>29.268999999999998</v>
      </c>
      <c r="D320" s="90">
        <f ca="1">IFERROR(__xludf.DUMMYFUNCTION("C314*IMPORTRANGE(""https://docs.google.com/spreadsheets/d/1xsp01RMmkav9iTy39Zaj_7tE9677EGlOJ14KU9TZn7I/"",""2003-2017!H1392"")"),20.99962943)</f>
        <v>20.999629429999999</v>
      </c>
      <c r="E320" s="90">
        <f ca="1">IFERROR(__xludf.DUMMYFUNCTION("C314*IMPORTRANGE(""https://docs.google.com/spreadsheets/d/1xsp01RMmkav9iTy39Zaj_7tE9677EGlOJ14KU9TZn7I/"",""2003-2017!T1392"")"),19.7791121299999)</f>
        <v>19.779112129999898</v>
      </c>
      <c r="F320" s="90">
        <f ca="1">IFERROR(__xludf.DUMMYFUNCTION("C314*IMPORTRANGE(""https://docs.google.com/spreadsheets/d/1xsp01RMmkav9iTy39Zaj_7tE9677EGlOJ14KU9TZn7I/"",""2003-2017!AC1392"")"),2656.74704219299)</f>
        <v>2656.7470421929902</v>
      </c>
      <c r="G320" s="69" t="s">
        <v>8</v>
      </c>
      <c r="K320" s="18"/>
      <c r="L320" s="2"/>
      <c r="M320" s="11"/>
      <c r="N320" s="11"/>
      <c r="O320" s="11"/>
      <c r="P320" s="11"/>
      <c r="Q320" s="1"/>
    </row>
    <row r="321" spans="1:17" ht="13.2" x14ac:dyDescent="0.25">
      <c r="A321" s="56">
        <v>2009</v>
      </c>
      <c r="B321" s="57"/>
      <c r="C321" s="60"/>
      <c r="D321" s="60"/>
      <c r="E321" s="60"/>
      <c r="F321" s="60"/>
      <c r="G321" s="59"/>
      <c r="K321" s="18"/>
      <c r="L321" s="2"/>
      <c r="M321" s="11"/>
      <c r="N321" s="11"/>
      <c r="O321" s="11"/>
      <c r="P321" s="11"/>
      <c r="Q321" s="1"/>
    </row>
    <row r="322" spans="1:17" ht="13.2" x14ac:dyDescent="0.25">
      <c r="A322" s="85" t="s">
        <v>291</v>
      </c>
      <c r="B322" s="86">
        <v>281</v>
      </c>
      <c r="C322" s="78">
        <f>10757.4/1000</f>
        <v>10.757400000000001</v>
      </c>
      <c r="D322" s="87">
        <f ca="1">IFERROR(__xludf.DUMMYFUNCTION("C316*IMPORTRANGE(""https://docs.google.com/spreadsheets/d/1xsp01RMmkav9iTy39Zaj_7tE9677EGlOJ14KU9TZn7I/"",""2003-2017!H1416"")"),8.143997244)</f>
        <v>8.1439972439999995</v>
      </c>
      <c r="E322" s="87">
        <f ca="1">IFERROR(__xludf.DUMMYFUNCTION("C316*IMPORTRANGE(""https://docs.google.com/spreadsheets/d/1xsp01RMmkav9iTy39Zaj_7tE9677EGlOJ14KU9TZn7I/"",""2003-2017!T1416"")"),7.396734453)</f>
        <v>7.3967344529999997</v>
      </c>
      <c r="F322" s="87">
        <f ca="1">IFERROR(__xludf.DUMMYFUNCTION("C316*IMPORTRANGE(""https://docs.google.com/spreadsheets/d/1xsp01RMmkav9iTy39Zaj_7tE9677EGlOJ14KU9TZn7I/"",""2003-2017!AC1416"")"),967.3592272722)</f>
        <v>967.35922727219997</v>
      </c>
      <c r="G322" s="64" t="s">
        <v>8</v>
      </c>
      <c r="K322" s="18"/>
      <c r="L322" s="2"/>
      <c r="M322" s="11"/>
      <c r="N322" s="11"/>
      <c r="O322" s="11"/>
      <c r="P322" s="11"/>
      <c r="Q322" s="1"/>
    </row>
    <row r="323" spans="1:17" ht="13.2" x14ac:dyDescent="0.25">
      <c r="A323" s="88" t="s">
        <v>292</v>
      </c>
      <c r="B323" s="89">
        <v>299</v>
      </c>
      <c r="C323" s="84">
        <f>50840.8/1000</f>
        <v>50.840800000000002</v>
      </c>
      <c r="D323" s="90">
        <f ca="1">IFERROR(__xludf.DUMMYFUNCTION("C317*IMPORTRANGE(""https://docs.google.com/spreadsheets/d/1xsp01RMmkav9iTy39Zaj_7tE9677EGlOJ14KU9TZn7I/"",""2003-2017!H1437"")"),39.6103214839999)</f>
        <v>39.610321483999897</v>
      </c>
      <c r="E323" s="90">
        <f ca="1">IFERROR(__xludf.DUMMYFUNCTION("C317*IMPORTRANGE(""https://docs.google.com/spreadsheets/d/1xsp01RMmkav9iTy39Zaj_7tE9677EGlOJ14KU9TZn7I/"",""2003-2017!T1437"")"),35.416718096)</f>
        <v>35.416718095999997</v>
      </c>
      <c r="F323" s="90">
        <f ca="1">IFERROR(__xludf.DUMMYFUNCTION("C317*IMPORTRANGE(""https://docs.google.com/spreadsheets/d/1xsp01RMmkav9iTy39Zaj_7tE9677EGlOJ14KU9TZn7I/"",""2003-2017!AC1437"")"),4671.7610865796)</f>
        <v>4671.7610865795996</v>
      </c>
      <c r="G323" s="69" t="s">
        <v>8</v>
      </c>
      <c r="K323" s="18"/>
      <c r="L323" s="2"/>
      <c r="M323" s="11"/>
      <c r="N323" s="11"/>
      <c r="O323" s="11"/>
      <c r="P323" s="11"/>
      <c r="Q323" s="1"/>
    </row>
    <row r="324" spans="1:17" ht="13.2" x14ac:dyDescent="0.25">
      <c r="A324" s="85" t="s">
        <v>293</v>
      </c>
      <c r="B324" s="86">
        <v>368</v>
      </c>
      <c r="C324" s="78">
        <f>19550.4/1000</f>
        <v>19.5504</v>
      </c>
      <c r="D324" s="87">
        <f ca="1">IFERROR(__xludf.DUMMYFUNCTION("C318*IMPORTRANGE(""https://docs.google.com/spreadsheets/d/1xsp01RMmkav9iTy39Zaj_7tE9677EGlOJ14KU9TZn7I/"",""2003-2017!H1460"")"),15.033475584)</f>
        <v>15.033475584</v>
      </c>
      <c r="E324" s="87">
        <f ca="1">IFERROR(__xludf.DUMMYFUNCTION("C318*IMPORTRANGE(""https://docs.google.com/spreadsheets/d/1xsp01RMmkav9iTy39Zaj_7tE9677EGlOJ14KU9TZn7I/"",""2003-2017!T1460"")"),13.812259848)</f>
        <v>13.812259848</v>
      </c>
      <c r="F324" s="87">
        <f ca="1">IFERROR(__xludf.DUMMYFUNCTION("C318*IMPORTRANGE(""https://docs.google.com/spreadsheets/d/1xsp01RMmkav9iTy39Zaj_7tE9677EGlOJ14KU9TZn7I/"",""2003-2017!AC1460"")"),1916.62345422479)</f>
        <v>1916.6234542247901</v>
      </c>
      <c r="G324" s="64" t="s">
        <v>8</v>
      </c>
      <c r="K324" s="18"/>
      <c r="L324" s="2"/>
      <c r="M324" s="11"/>
      <c r="N324" s="11"/>
      <c r="O324" s="11"/>
      <c r="P324" s="11"/>
      <c r="Q324" s="1"/>
    </row>
    <row r="325" spans="1:17" ht="13.2" x14ac:dyDescent="0.25">
      <c r="A325" s="88" t="s">
        <v>294</v>
      </c>
      <c r="B325" s="89">
        <v>279</v>
      </c>
      <c r="C325" s="84">
        <f>9767/1000</f>
        <v>9.7669999999999995</v>
      </c>
      <c r="D325" s="90">
        <f ca="1">IFERROR(__xludf.DUMMYFUNCTION("C319*IMPORTRANGE(""https://docs.google.com/spreadsheets/d/1xsp01RMmkav9iTy39Zaj_7tE9677EGlOJ14KU9TZn7I/"",""2003-2017!H1483"")"),7.38214277499999)</f>
        <v>7.3821427749999904</v>
      </c>
      <c r="E325" s="90">
        <f ca="1">IFERROR(__xludf.DUMMYFUNCTION("C319*IMPORTRANGE(""https://docs.google.com/spreadsheets/d/1xsp01RMmkav9iTy39Zaj_7tE9677EGlOJ14KU9TZn7I/"",""2003-2017!T1483"")"),6.632525525)</f>
        <v>6.6325255250000001</v>
      </c>
      <c r="F325" s="90">
        <f ca="1">IFERROR(__xludf.DUMMYFUNCTION("C319*IMPORTRANGE(""https://docs.google.com/spreadsheets/d/1xsp01RMmkav9iTy39Zaj_7tE9677EGlOJ14KU9TZn7I/"",""2003-2017!AC1483"")"),967.177189650499)</f>
        <v>967.17718965049903</v>
      </c>
      <c r="G325" s="69" t="s">
        <v>8</v>
      </c>
      <c r="K325" s="18"/>
      <c r="L325" s="2"/>
      <c r="M325" s="11"/>
      <c r="N325" s="11"/>
      <c r="O325" s="11"/>
      <c r="P325" s="11"/>
      <c r="Q325" s="1"/>
    </row>
    <row r="326" spans="1:17" ht="13.2" x14ac:dyDescent="0.25">
      <c r="A326" s="85" t="s">
        <v>295</v>
      </c>
      <c r="B326" s="86">
        <v>277</v>
      </c>
      <c r="C326" s="78">
        <f>35109/1000</f>
        <v>35.109000000000002</v>
      </c>
      <c r="D326" s="87">
        <f ca="1">IFERROR(__xludf.DUMMYFUNCTION("C320*IMPORTRANGE(""https://docs.google.com/spreadsheets/d/1xsp01RMmkav9iTy39Zaj_7tE9677EGlOJ14KU9TZn7I/"",""2003-2017!H1505"")"),25.74718515)</f>
        <v>25.74718515</v>
      </c>
      <c r="E326" s="87">
        <f ca="1">IFERROR(__xludf.DUMMYFUNCTION("C320*IMPORTRANGE(""https://docs.google.com/spreadsheets/d/1xsp01RMmkav9iTy39Zaj_7tE9677EGlOJ14KU9TZn7I/"",""2003-2017!T1505"")"),22.99147974)</f>
        <v>22.991479739999999</v>
      </c>
      <c r="F326" s="87">
        <f ca="1">IFERROR(__xludf.DUMMYFUNCTION("C320*IMPORTRANGE(""https://docs.google.com/spreadsheets/d/1xsp01RMmkav9iTy39Zaj_7tE9677EGlOJ14KU9TZn7I/"",""2003-2017!AC1505"")"),3374.571647673)</f>
        <v>3374.5716476729999</v>
      </c>
      <c r="G326" s="64" t="s">
        <v>8</v>
      </c>
      <c r="K326" s="18"/>
      <c r="L326" s="2"/>
      <c r="M326" s="11"/>
      <c r="N326" s="11"/>
      <c r="O326" s="11"/>
      <c r="P326" s="11"/>
      <c r="Q326" s="1"/>
    </row>
    <row r="327" spans="1:17" ht="13.2" x14ac:dyDescent="0.25">
      <c r="A327" s="88" t="s">
        <v>296</v>
      </c>
      <c r="B327" s="89">
        <v>353</v>
      </c>
      <c r="C327" s="84">
        <f>14924/1000</f>
        <v>14.923999999999999</v>
      </c>
      <c r="D327" s="90">
        <f ca="1">IFERROR(__xludf.DUMMYFUNCTION("C321*IMPORTRANGE(""https://docs.google.com/spreadsheets/d/1xsp01RMmkav9iTy39Zaj_7tE9677EGlOJ14KU9TZn7I/"",""2003-2017!H1528"")"),10.6650635)</f>
        <v>10.6650635</v>
      </c>
      <c r="E327" s="90">
        <f ca="1">IFERROR(__xludf.DUMMYFUNCTION("C321*IMPORTRANGE(""https://docs.google.com/spreadsheets/d/1xsp01RMmkav9iTy39Zaj_7tE9677EGlOJ14KU9TZn7I/"",""2003-2017!T1528"")"),9.10416234)</f>
        <v>9.1041623400000002</v>
      </c>
      <c r="F327" s="90">
        <f ca="1">IFERROR(__xludf.DUMMYFUNCTION("C321*IMPORTRANGE(""https://docs.google.com/spreadsheets/d/1xsp01RMmkav9iTy39Zaj_7tE9677EGlOJ14KU9TZn7I/"",""2003-2017!AC1528"")"),1440.330186386)</f>
        <v>1440.3301863859999</v>
      </c>
      <c r="G327" s="69" t="s">
        <v>8</v>
      </c>
      <c r="K327" s="18"/>
      <c r="L327" s="2"/>
      <c r="M327" s="11"/>
      <c r="N327" s="11"/>
      <c r="O327" s="11"/>
      <c r="P327" s="11"/>
      <c r="Q327" s="1"/>
    </row>
    <row r="328" spans="1:17" ht="13.2" x14ac:dyDescent="0.25">
      <c r="A328" s="85" t="s">
        <v>297</v>
      </c>
      <c r="B328" s="86">
        <v>380</v>
      </c>
      <c r="C328" s="78">
        <f>15502.8/1000</f>
        <v>15.502799999999999</v>
      </c>
      <c r="D328" s="87">
        <f ca="1">IFERROR(__xludf.DUMMYFUNCTION("C322*IMPORTRANGE(""https://docs.google.com/spreadsheets/d/1xsp01RMmkav9iTy39Zaj_7tE9677EGlOJ14KU9TZn7I/"",""2003-2017!H1552"")"),10.9933455359999)</f>
        <v>10.9933455359999</v>
      </c>
      <c r="E328" s="87">
        <f ca="1">IFERROR(__xludf.DUMMYFUNCTION("C322*IMPORTRANGE(""https://docs.google.com/spreadsheets/d/1xsp01RMmkav9iTy39Zaj_7tE9677EGlOJ14KU9TZn7I/"",""2003-2017!T1552"")"),9.44663117999999)</f>
        <v>9.44663117999999</v>
      </c>
      <c r="F328" s="87">
        <f ca="1">IFERROR(__xludf.DUMMYFUNCTION("C322*IMPORTRANGE(""https://docs.google.com/spreadsheets/d/1xsp01RMmkav9iTy39Zaj_7tE9677EGlOJ14KU9TZn7I/"",""2003-2017!AC1552"")"),1463.15421749159)</f>
        <v>1463.1542174915901</v>
      </c>
      <c r="G328" s="64" t="s">
        <v>8</v>
      </c>
      <c r="K328" s="18"/>
      <c r="L328" s="2"/>
      <c r="M328" s="11"/>
      <c r="N328" s="11"/>
      <c r="O328" s="11"/>
      <c r="P328" s="11"/>
      <c r="Q328" s="1"/>
    </row>
    <row r="329" spans="1:17" ht="13.2" x14ac:dyDescent="0.25">
      <c r="A329" s="88" t="s">
        <v>298</v>
      </c>
      <c r="B329" s="89">
        <v>346</v>
      </c>
      <c r="C329" s="84">
        <f>18228.4/1000</f>
        <v>18.228400000000001</v>
      </c>
      <c r="D329" s="90">
        <f ca="1">IFERROR(__xludf.DUMMYFUNCTION("C323*IMPORTRANGE(""https://docs.google.com/spreadsheets/d/1xsp01RMmkav9iTy39Zaj_7tE9677EGlOJ14KU9TZn7I/"",""2003-2017!H1574"")"),12.768629632)</f>
        <v>12.768629632</v>
      </c>
      <c r="E329" s="90">
        <f ca="1">IFERROR(__xludf.DUMMYFUNCTION("C323*IMPORTRANGE(""https://docs.google.com/spreadsheets/d/1xsp01RMmkav9iTy39Zaj_7tE9677EGlOJ14KU9TZn7I/"",""2003-2017!T1574"")"),11.040759596)</f>
        <v>11.040759595999999</v>
      </c>
      <c r="F329" s="90">
        <f ca="1">IFERROR(__xludf.DUMMYFUNCTION("C323*IMPORTRANGE(""https://docs.google.com/spreadsheets/d/1xsp01RMmkav9iTy39Zaj_7tE9677EGlOJ14KU9TZn7I/"",""2003-2017!AC1574"")"),1727.9793699432)</f>
        <v>1727.9793699432</v>
      </c>
      <c r="G329" s="69" t="s">
        <v>8</v>
      </c>
      <c r="K329" s="18"/>
      <c r="L329" s="2"/>
      <c r="M329" s="11"/>
      <c r="N329" s="11"/>
      <c r="O329" s="11"/>
      <c r="P329" s="11"/>
      <c r="Q329" s="1"/>
    </row>
    <row r="330" spans="1:17" ht="13.2" x14ac:dyDescent="0.25">
      <c r="A330" s="85" t="s">
        <v>299</v>
      </c>
      <c r="B330" s="86">
        <v>359</v>
      </c>
      <c r="C330" s="78">
        <f>35264.4/1000</f>
        <v>35.264400000000002</v>
      </c>
      <c r="D330" s="87">
        <f ca="1">IFERROR(__xludf.DUMMYFUNCTION("C324*IMPORTRANGE(""https://docs.google.com/spreadsheets/d/1xsp01RMmkav9iTy39Zaj_7tE9677EGlOJ14KU9TZn7I/"",""2003-2017!H1597"")"),24.100219926)</f>
        <v>24.100219926000001</v>
      </c>
      <c r="E330" s="87">
        <f ca="1">IFERROR(__xludf.DUMMYFUNCTION("C324*IMPORTRANGE(""https://docs.google.com/spreadsheets/d/1xsp01RMmkav9iTy39Zaj_7tE9677EGlOJ14KU9TZn7I/"",""2003-2017!T1597"")"),21.574407276)</f>
        <v>21.574407275999999</v>
      </c>
      <c r="F330" s="87">
        <f ca="1">IFERROR(__xludf.DUMMYFUNCTION("C324*IMPORTRANGE(""https://docs.google.com/spreadsheets/d/1xsp01RMmkav9iTy39Zaj_7tE9677EGlOJ14KU9TZn7I/"",""2003-2017!AC1597"")"),3217.4532919356)</f>
        <v>3217.4532919356002</v>
      </c>
      <c r="G330" s="64" t="s">
        <v>8</v>
      </c>
      <c r="K330" s="18"/>
      <c r="L330" s="2"/>
      <c r="M330" s="11"/>
      <c r="N330" s="11"/>
      <c r="O330" s="11"/>
      <c r="P330" s="11"/>
      <c r="Q330" s="1"/>
    </row>
    <row r="331" spans="1:17" ht="13.2" x14ac:dyDescent="0.25">
      <c r="A331" s="88" t="s">
        <v>300</v>
      </c>
      <c r="B331" s="89">
        <v>384</v>
      </c>
      <c r="C331" s="84">
        <f>37097.4/1000</f>
        <v>37.0974</v>
      </c>
      <c r="D331" s="90">
        <f ca="1">IFERROR(__xludf.DUMMYFUNCTION("C325*IMPORTRANGE(""https://docs.google.com/spreadsheets/d/1xsp01RMmkav9iTy39Zaj_7tE9677EGlOJ14KU9TZn7I/"",""2003-2017!H1620"")"),25.017559125)</f>
        <v>25.017559124999998</v>
      </c>
      <c r="E331" s="90">
        <f ca="1">IFERROR(__xludf.DUMMYFUNCTION("C325*IMPORTRANGE(""https://docs.google.com/spreadsheets/d/1xsp01RMmkav9iTy39Zaj_7tE9677EGlOJ14KU9TZn7I/"",""2003-2017!T1620"")"),22.751464446)</f>
        <v>22.751464446</v>
      </c>
      <c r="F331" s="90">
        <f ca="1">IFERROR(__xludf.DUMMYFUNCTION("C325*IMPORTRANGE(""https://docs.google.com/spreadsheets/d/1xsp01RMmkav9iTy39Zaj_7tE9677EGlOJ14KU9TZn7I/"",""2003-2017!AC1620"")"),3351.00806780519)</f>
        <v>3351.00806780519</v>
      </c>
      <c r="G331" s="69" t="s">
        <v>8</v>
      </c>
      <c r="K331" s="18"/>
      <c r="L331" s="2"/>
      <c r="M331" s="11"/>
      <c r="N331" s="11"/>
      <c r="O331" s="11"/>
      <c r="P331" s="11"/>
      <c r="Q331" s="1"/>
    </row>
    <row r="332" spans="1:17" ht="13.2" x14ac:dyDescent="0.25">
      <c r="A332" s="85" t="s">
        <v>301</v>
      </c>
      <c r="B332" s="86">
        <v>424</v>
      </c>
      <c r="C332" s="78">
        <f>50146.7/1000</f>
        <v>50.146699999999996</v>
      </c>
      <c r="D332" s="87">
        <f ca="1">IFERROR(__xludf.DUMMYFUNCTION("C326*IMPORTRANGE(""https://docs.google.com/spreadsheets/d/1xsp01RMmkav9iTy39Zaj_7tE9677EGlOJ14KU9TZn7I/"",""2003-2017!H1642"")"),33.534101224)</f>
        <v>33.534101223999997</v>
      </c>
      <c r="E332" s="87">
        <f ca="1">IFERROR(__xludf.DUMMYFUNCTION("C326*IMPORTRANGE(""https://docs.google.com/spreadsheets/d/1xsp01RMmkav9iTy39Zaj_7tE9677EGlOJ14KU9TZn7I/"",""2003-2017!T1642"")"),30.2324424959999)</f>
        <v>30.232442495999901</v>
      </c>
      <c r="F332" s="87">
        <f ca="1">IFERROR(__xludf.DUMMYFUNCTION("C326*IMPORTRANGE(""https://docs.google.com/spreadsheets/d/1xsp01RMmkav9iTy39Zaj_7tE9677EGlOJ14KU9TZn7I/"",""2003-2017!AC1642"")"),4483.01483704009)</f>
        <v>4483.0148370400902</v>
      </c>
      <c r="G332" s="64" t="s">
        <v>8</v>
      </c>
      <c r="K332" s="18"/>
      <c r="L332" s="2"/>
      <c r="M332" s="11"/>
      <c r="N332" s="11"/>
      <c r="O332" s="11"/>
      <c r="P332" s="11"/>
      <c r="Q332" s="1"/>
    </row>
    <row r="333" spans="1:17" ht="13.2" x14ac:dyDescent="0.25">
      <c r="A333" s="88" t="s">
        <v>302</v>
      </c>
      <c r="B333" s="89">
        <v>532</v>
      </c>
      <c r="C333" s="84">
        <f>47883/1000</f>
        <v>47.883000000000003</v>
      </c>
      <c r="D333" s="90">
        <f ca="1">IFERROR(__xludf.DUMMYFUNCTION("C327*IMPORTRANGE(""https://docs.google.com/spreadsheets/d/1xsp01RMmkav9iTy39Zaj_7tE9677EGlOJ14KU9TZn7I/"",""2003-2017!H1666"")"),32.96361486)</f>
        <v>32.96361486</v>
      </c>
      <c r="E333" s="90">
        <f ca="1">IFERROR(__xludf.DUMMYFUNCTION("C327*IMPORTRANGE(""https://docs.google.com/spreadsheets/d/1xsp01RMmkav9iTy39Zaj_7tE9677EGlOJ14KU9TZn7I/"",""2003-2017!T1666"")"),29.46815586)</f>
        <v>29.46815586</v>
      </c>
      <c r="F333" s="90">
        <f ca="1">IFERROR(__xludf.DUMMYFUNCTION("C327*IMPORTRANGE(""https://docs.google.com/spreadsheets/d/1xsp01RMmkav9iTy39Zaj_7tE9677EGlOJ14KU9TZn7I/"",""2003-2017!AC1666"")"),4302.287454234)</f>
        <v>4302.2874542339996</v>
      </c>
      <c r="G333" s="69" t="s">
        <v>8</v>
      </c>
      <c r="K333" s="18"/>
      <c r="L333" s="2"/>
      <c r="M333" s="11"/>
      <c r="N333" s="11"/>
      <c r="O333" s="11"/>
      <c r="P333" s="11"/>
      <c r="Q333" s="1"/>
    </row>
    <row r="334" spans="1:17" ht="13.2" x14ac:dyDescent="0.25">
      <c r="A334" s="56">
        <v>2010</v>
      </c>
      <c r="B334" s="57"/>
      <c r="C334" s="60"/>
      <c r="D334" s="60"/>
      <c r="E334" s="60"/>
      <c r="F334" s="60"/>
      <c r="G334" s="59"/>
      <c r="K334" s="18"/>
      <c r="L334" s="2"/>
      <c r="M334" s="11"/>
      <c r="N334" s="11"/>
      <c r="O334" s="11"/>
      <c r="P334" s="11"/>
      <c r="Q334" s="1"/>
    </row>
    <row r="335" spans="1:17" ht="13.2" x14ac:dyDescent="0.25">
      <c r="A335" s="85" t="s">
        <v>303</v>
      </c>
      <c r="B335" s="86">
        <v>419</v>
      </c>
      <c r="C335" s="78">
        <f>45082.4/1000</f>
        <v>45.0824</v>
      </c>
      <c r="D335" s="87">
        <f ca="1">IFERROR(__xludf.DUMMYFUNCTION("C329*IMPORTRANGE(""https://docs.google.com/spreadsheets/d/1xsp01RMmkav9iTy39Zaj_7tE9677EGlOJ14KU9TZn7I/"",""2003-2017!H1689"")"),31.381407816)</f>
        <v>31.381407815999999</v>
      </c>
      <c r="E335" s="87">
        <f ca="1">IFERROR(__xludf.DUMMYFUNCTION("C329*IMPORTRANGE(""https://docs.google.com/spreadsheets/d/1xsp01RMmkav9iTy39Zaj_7tE9677EGlOJ14KU9TZn7I/"",""2003-2017!T1689"")"),27.919981144)</f>
        <v>27.919981144000001</v>
      </c>
      <c r="F335" s="87">
        <f ca="1">IFERROR(__xludf.DUMMYFUNCTION("C329*IMPORTRANGE(""https://docs.google.com/spreadsheets/d/1xsp01RMmkav9iTy39Zaj_7tE9677EGlOJ14KU9TZn7I/"",""2003-2017!AC1689"")"),4111.1542658824)</f>
        <v>4111.1542658824001</v>
      </c>
      <c r="G335" s="64" t="s">
        <v>8</v>
      </c>
      <c r="K335" s="18"/>
      <c r="L335" s="2"/>
      <c r="M335" s="11"/>
      <c r="N335" s="11"/>
      <c r="O335" s="11"/>
      <c r="P335" s="11"/>
      <c r="Q335" s="1"/>
    </row>
    <row r="336" spans="1:17" ht="13.2" x14ac:dyDescent="0.25">
      <c r="A336" s="88" t="s">
        <v>304</v>
      </c>
      <c r="B336" s="89">
        <v>376</v>
      </c>
      <c r="C336" s="84">
        <f>32484.6/1000</f>
        <v>32.4846</v>
      </c>
      <c r="D336" s="90">
        <f ca="1">IFERROR(__xludf.DUMMYFUNCTION("C330*IMPORTRANGE(""https://docs.google.com/spreadsheets/d/1xsp01RMmkav9iTy39Zaj_7tE9677EGlOJ14KU9TZn7I/"",""2003-2017!H1710"")"),23.807313648)</f>
        <v>23.807313648000001</v>
      </c>
      <c r="E336" s="90">
        <f ca="1">IFERROR(__xludf.DUMMYFUNCTION("C330*IMPORTRANGE(""https://docs.google.com/spreadsheets/d/1xsp01RMmkav9iTy39Zaj_7tE9677EGlOJ14KU9TZn7I/"",""2003-2017!T1710"")"),20.740280139)</f>
        <v>20.740280138999999</v>
      </c>
      <c r="F336" s="90">
        <f ca="1">IFERROR(__xludf.DUMMYFUNCTION("C330*IMPORTRANGE(""https://docs.google.com/spreadsheets/d/1xsp01RMmkav9iTy39Zaj_7tE9677EGlOJ14KU9TZn7I/"",""2003-2017!AC1710"")"),2927.0249966961)</f>
        <v>2927.0249966961001</v>
      </c>
      <c r="G336" s="69" t="s">
        <v>8</v>
      </c>
      <c r="K336" s="18"/>
      <c r="L336" s="2"/>
      <c r="M336" s="11"/>
      <c r="N336" s="11"/>
      <c r="O336" s="11"/>
      <c r="P336" s="11"/>
      <c r="Q336" s="1"/>
    </row>
    <row r="337" spans="1:17" ht="13.2" x14ac:dyDescent="0.25">
      <c r="A337" s="85" t="s">
        <v>305</v>
      </c>
      <c r="B337" s="86">
        <v>472</v>
      </c>
      <c r="C337" s="78">
        <f>35649.9/1000</f>
        <v>35.649900000000002</v>
      </c>
      <c r="D337" s="87">
        <f ca="1">IFERROR(__xludf.DUMMYFUNCTION("C331*IMPORTRANGE(""https://docs.google.com/spreadsheets/d/1xsp01RMmkav9iTy39Zaj_7tE9677EGlOJ14KU9TZn7I/"",""2003-2017!H1734"")"),26.199824508)</f>
        <v>26.199824507999999</v>
      </c>
      <c r="E337" s="87">
        <f ca="1">IFERROR(__xludf.DUMMYFUNCTION("C331*IMPORTRANGE(""https://docs.google.com/spreadsheets/d/1xsp01RMmkav9iTy39Zaj_7tE9677EGlOJ14KU9TZn7I/"",""2003-2017!T1734"")"),23.700410019)</f>
        <v>23.700410019</v>
      </c>
      <c r="F337" s="87">
        <f ca="1">IFERROR(__xludf.DUMMYFUNCTION("C331*IMPORTRANGE(""https://docs.google.com/spreadsheets/d/1xsp01RMmkav9iTy39Zaj_7tE9677EGlOJ14KU9TZn7I/"",""2003-2017!AC1734"")"),3222.8579097)</f>
        <v>3222.8579097000002</v>
      </c>
      <c r="G337" s="64" t="s">
        <v>8</v>
      </c>
      <c r="K337" s="18"/>
      <c r="L337" s="2"/>
      <c r="M337" s="11"/>
      <c r="N337" s="11"/>
      <c r="O337" s="11"/>
      <c r="P337" s="11"/>
      <c r="Q337" s="1"/>
    </row>
    <row r="338" spans="1:17" ht="13.2" x14ac:dyDescent="0.25">
      <c r="A338" s="88" t="s">
        <v>306</v>
      </c>
      <c r="B338" s="89">
        <v>447</v>
      </c>
      <c r="C338" s="84">
        <f>31773.3/1000</f>
        <v>31.773299999999999</v>
      </c>
      <c r="D338" s="90">
        <f ca="1">IFERROR(__xludf.DUMMYFUNCTION("C332*IMPORTRANGE(""https://docs.google.com/spreadsheets/d/1xsp01RMmkav9iTy39Zaj_7tE9677EGlOJ14KU9TZn7I/"",""2003-2017!H1757"")"),23.678734092)</f>
        <v>23.678734091999999</v>
      </c>
      <c r="E338" s="90">
        <f ca="1">IFERROR(__xludf.DUMMYFUNCTION("C332*IMPORTRANGE(""https://docs.google.com/spreadsheets/d/1xsp01RMmkav9iTy39Zaj_7tE9677EGlOJ14KU9TZn7I/"",""2003-2017!T1757"")"),20.6858480985)</f>
        <v>20.685848098499999</v>
      </c>
      <c r="F338" s="90">
        <f ca="1">IFERROR(__xludf.DUMMYFUNCTION("C332*IMPORTRANGE(""https://docs.google.com/spreadsheets/d/1xsp01RMmkav9iTy39Zaj_7tE9677EGlOJ14KU9TZn7I/"",""2003-2017!AC1757"")"),2966.29180494659)</f>
        <v>2966.2918049465902</v>
      </c>
      <c r="G338" s="69" t="s">
        <v>8</v>
      </c>
      <c r="K338" s="18"/>
      <c r="L338" s="2"/>
      <c r="M338" s="11"/>
      <c r="N338" s="11"/>
      <c r="O338" s="11"/>
      <c r="P338" s="11"/>
      <c r="Q338" s="1"/>
    </row>
    <row r="339" spans="1:17" ht="13.2" x14ac:dyDescent="0.25">
      <c r="A339" s="85" t="s">
        <v>307</v>
      </c>
      <c r="B339" s="86">
        <v>374</v>
      </c>
      <c r="C339" s="78">
        <f>30167.5/1000</f>
        <v>30.1675</v>
      </c>
      <c r="D339" s="87">
        <f ca="1">IFERROR(__xludf.DUMMYFUNCTION("C333*IMPORTRANGE(""https://docs.google.com/spreadsheets/d/1xsp01RMmkav9iTy39Zaj_7tE9677EGlOJ14KU9TZn7I/"",""2003-2017!H1779"")"),24.174726125)</f>
        <v>24.174726124999999</v>
      </c>
      <c r="E339" s="87">
        <f ca="1">IFERROR(__xludf.DUMMYFUNCTION("C333*IMPORTRANGE(""https://docs.google.com/spreadsheets/d/1xsp01RMmkav9iTy39Zaj_7tE9677EGlOJ14KU9TZn7I/"",""2003-2017!T1779"")"),20.750714875)</f>
        <v>20.750714875</v>
      </c>
      <c r="F339" s="87">
        <f ca="1">IFERROR(__xludf.DUMMYFUNCTION("C333*IMPORTRANGE(""https://docs.google.com/spreadsheets/d/1xsp01RMmkav9iTy39Zaj_7tE9677EGlOJ14KU9TZn7I/"",""2003-2017!AC1779"")"),2762.739710335)</f>
        <v>2762.7397103349999</v>
      </c>
      <c r="G339" s="64" t="s">
        <v>8</v>
      </c>
      <c r="K339" s="18"/>
      <c r="L339" s="2"/>
      <c r="M339" s="11"/>
      <c r="N339" s="11"/>
      <c r="O339" s="11"/>
      <c r="P339" s="11"/>
      <c r="Q339" s="1"/>
    </row>
    <row r="340" spans="1:17" ht="13.2" x14ac:dyDescent="0.25">
      <c r="A340" s="88" t="s">
        <v>308</v>
      </c>
      <c r="B340" s="89">
        <v>470</v>
      </c>
      <c r="C340" s="84">
        <f>27593.4/1000</f>
        <v>27.593400000000003</v>
      </c>
      <c r="D340" s="90">
        <f ca="1">IFERROR(__xludf.DUMMYFUNCTION("C334*IMPORTRANGE(""https://docs.google.com/spreadsheets/d/1xsp01RMmkav9iTy39Zaj_7tE9677EGlOJ14KU9TZn7I/"",""2003-2017!H1802"")"),22.550982084)</f>
        <v>22.550982084000001</v>
      </c>
      <c r="E340" s="90">
        <f ca="1">IFERROR(__xludf.DUMMYFUNCTION("C334*IMPORTRANGE(""https://docs.google.com/spreadsheets/d/1xsp01RMmkav9iTy39Zaj_7tE9677EGlOJ14KU9TZn7I/"",""2003-2017!T1802"")"),18.709980804)</f>
        <v>18.709980804000001</v>
      </c>
      <c r="F340" s="90">
        <f ca="1">IFERROR(__xludf.DUMMYFUNCTION("C334*IMPORTRANGE(""https://docs.google.com/spreadsheets/d/1xsp01RMmkav9iTy39Zaj_7tE9677EGlOJ14KU9TZn7I/"",""2003-2017!AC1802"")"),2516.6421951132)</f>
        <v>2516.6421951132002</v>
      </c>
      <c r="G340" s="69" t="s">
        <v>8</v>
      </c>
      <c r="K340" s="18"/>
      <c r="L340" s="2"/>
      <c r="M340" s="11"/>
      <c r="N340" s="11"/>
      <c r="O340" s="11"/>
      <c r="P340" s="11"/>
      <c r="Q340" s="1"/>
    </row>
    <row r="341" spans="1:17" ht="13.2" x14ac:dyDescent="0.25">
      <c r="A341" s="85" t="s">
        <v>309</v>
      </c>
      <c r="B341" s="86">
        <v>471</v>
      </c>
      <c r="C341" s="78">
        <f>22974.6/1000</f>
        <v>22.974599999999999</v>
      </c>
      <c r="D341" s="87">
        <f ca="1">IFERROR(__xludf.DUMMYFUNCTION("C335*IMPORTRANGE(""https://docs.google.com/spreadsheets/d/1xsp01RMmkav9iTy39Zaj_7tE9677EGlOJ14KU9TZn7I/"",""2003-2017!H1825"")"),17.9066329859999)</f>
        <v>17.906632985999899</v>
      </c>
      <c r="E341" s="87">
        <f ca="1">IFERROR(__xludf.DUMMYFUNCTION("C335*IMPORTRANGE(""https://docs.google.com/spreadsheets/d/1xsp01RMmkav9iTy39Zaj_7tE9677EGlOJ14KU9TZn7I/"",""2003-2017!T1825"")"),15.0684657749999)</f>
        <v>15.0684657749999</v>
      </c>
      <c r="F341" s="87">
        <f ca="1">IFERROR(__xludf.DUMMYFUNCTION("C335*IMPORTRANGE(""https://docs.google.com/spreadsheets/d/1xsp01RMmkav9iTy39Zaj_7tE9677EGlOJ14KU9TZn7I/"",""2003-2017!AC1825"")"),2010.2775)</f>
        <v>2010.2774999999999</v>
      </c>
      <c r="G341" s="64" t="s">
        <v>8</v>
      </c>
      <c r="K341" s="18"/>
      <c r="L341" s="2"/>
      <c r="M341" s="11"/>
      <c r="N341" s="11"/>
      <c r="O341" s="11"/>
      <c r="P341" s="11"/>
      <c r="Q341" s="1"/>
    </row>
    <row r="342" spans="1:17" ht="13.2" x14ac:dyDescent="0.25">
      <c r="A342" s="88" t="s">
        <v>310</v>
      </c>
      <c r="B342" s="89">
        <v>445</v>
      </c>
      <c r="C342" s="84">
        <f>17665.9/1000</f>
        <v>17.665900000000001</v>
      </c>
      <c r="D342" s="90">
        <f ca="1">IFERROR(__xludf.DUMMYFUNCTION("C336*IMPORTRANGE(""https://docs.google.com/spreadsheets/d/1xsp01RMmkav9iTy39Zaj_7tE9677EGlOJ14KU9TZn7I/"",""2003-2017!H1848"")"),13.7617360999999)</f>
        <v>13.761736099999901</v>
      </c>
      <c r="E342" s="90">
        <f ca="1">IFERROR(__xludf.DUMMYFUNCTION("C336*IMPORTRANGE(""https://docs.google.com/spreadsheets/d/1xsp01RMmkav9iTy39Zaj_7tE9677EGlOJ14KU9TZn7I/"",""2003-2017!T1848"")"),11.3235769115)</f>
        <v>11.3235769115</v>
      </c>
      <c r="F342" s="90">
        <f ca="1">IFERROR(__xludf.DUMMYFUNCTION("C336*IMPORTRANGE(""https://docs.google.com/spreadsheets/d/1xsp01RMmkav9iTy39Zaj_7tE9677EGlOJ14KU9TZn7I/"",""2003-2017!AC1848"")"),1509.91331478295)</f>
        <v>1509.91331478295</v>
      </c>
      <c r="G342" s="69" t="s">
        <v>8</v>
      </c>
      <c r="K342" s="18"/>
      <c r="L342" s="2"/>
      <c r="M342" s="11"/>
      <c r="N342" s="11"/>
      <c r="O342" s="11"/>
      <c r="P342" s="11"/>
      <c r="Q342" s="1"/>
    </row>
    <row r="343" spans="1:17" ht="13.2" x14ac:dyDescent="0.25">
      <c r="A343" s="85" t="s">
        <v>311</v>
      </c>
      <c r="B343" s="86">
        <v>500</v>
      </c>
      <c r="C343" s="78">
        <f>21290.4/1000</f>
        <v>21.290400000000002</v>
      </c>
      <c r="D343" s="87">
        <f ca="1">IFERROR(__xludf.DUMMYFUNCTION("C337*IMPORTRANGE(""https://docs.google.com/spreadsheets/d/1xsp01RMmkav9iTy39Zaj_7tE9677EGlOJ14KU9TZn7I/"",""2003-2017!H1871"")"),16.372956312)</f>
        <v>16.372956311999999</v>
      </c>
      <c r="E343" s="87">
        <f ca="1">IFERROR(__xludf.DUMMYFUNCTION("C337*IMPORTRANGE(""https://docs.google.com/spreadsheets/d/1xsp01RMmkav9iTy39Zaj_7tE9677EGlOJ14KU9TZn7I/"",""2003-2017!T1871"")"),13.699414332)</f>
        <v>13.699414332</v>
      </c>
      <c r="F343" s="87">
        <f ca="1">IFERROR(__xludf.DUMMYFUNCTION("C337*IMPORTRANGE(""https://docs.google.com/spreadsheets/d/1xsp01RMmkav9iTy39Zaj_7tE9677EGlOJ14KU9TZn7I/"",""2003-2017!AC1871"")"),1794.5891170452)</f>
        <v>1794.5891170452001</v>
      </c>
      <c r="G343" s="64" t="s">
        <v>8</v>
      </c>
      <c r="K343" s="18"/>
      <c r="L343" s="2"/>
      <c r="M343" s="11"/>
      <c r="N343" s="11"/>
      <c r="O343" s="11"/>
      <c r="P343" s="11"/>
      <c r="Q343" s="1"/>
    </row>
    <row r="344" spans="1:17" ht="13.2" x14ac:dyDescent="0.25">
      <c r="A344" s="88" t="s">
        <v>312</v>
      </c>
      <c r="B344" s="89">
        <v>430</v>
      </c>
      <c r="C344" s="84">
        <f>23690.7/1000</f>
        <v>23.6907</v>
      </c>
      <c r="D344" s="90">
        <f ca="1">IFERROR(__xludf.DUMMYFUNCTION("C338*IMPORTRANGE(""https://docs.google.com/spreadsheets/d/1xsp01RMmkav9iTy39Zaj_7tE9677EGlOJ14KU9TZn7I/"",""2003-2017!H1893"")"),17.022952485)</f>
        <v>17.022952485000001</v>
      </c>
      <c r="E344" s="90">
        <f ca="1">IFERROR(__xludf.DUMMYFUNCTION("C338*IMPORTRANGE(""https://docs.google.com/spreadsheets/d/1xsp01RMmkav9iTy39Zaj_7tE9677EGlOJ14KU9TZn7I/"",""2003-2017!T1893"")"),14.9514376769999)</f>
        <v>14.9514376769999</v>
      </c>
      <c r="F344" s="90">
        <f ca="1">IFERROR(__xludf.DUMMYFUNCTION("C338*IMPORTRANGE(""https://docs.google.com/spreadsheets/d/1xsp01RMmkav9iTy39Zaj_7tE9677EGlOJ14KU9TZn7I/"",""2003-2017!AC1893"")"),1935.0327089907)</f>
        <v>1935.0327089907</v>
      </c>
      <c r="G344" s="69" t="s">
        <v>8</v>
      </c>
      <c r="K344" s="18"/>
      <c r="L344" s="2"/>
      <c r="M344" s="11"/>
      <c r="N344" s="11"/>
      <c r="O344" s="11"/>
      <c r="P344" s="11"/>
      <c r="Q344" s="1"/>
    </row>
    <row r="345" spans="1:17" ht="13.2" x14ac:dyDescent="0.25">
      <c r="A345" s="85" t="s">
        <v>313</v>
      </c>
      <c r="B345" s="86">
        <v>514</v>
      </c>
      <c r="C345" s="78">
        <f>50361.7/1000</f>
        <v>50.361699999999999</v>
      </c>
      <c r="D345" s="87">
        <f ca="1">IFERROR(__xludf.DUMMYFUNCTION("C339*IMPORTRANGE(""https://docs.google.com/spreadsheets/d/1xsp01RMmkav9iTy39Zaj_7tE9677EGlOJ14KU9TZn7I/"",""2003-2017!H1916"")"),36.8269931249999)</f>
        <v>36.826993124999902</v>
      </c>
      <c r="E345" s="87">
        <f ca="1">IFERROR(__xludf.DUMMYFUNCTION("C339*IMPORTRANGE(""https://docs.google.com/spreadsheets/d/1xsp01RMmkav9iTy39Zaj_7tE9677EGlOJ14KU9TZn7I/"",""2003-2017!T1916"")"),31.4020308009999)</f>
        <v>31.402030800999899</v>
      </c>
      <c r="F345" s="87">
        <f ca="1">IFERROR(__xludf.DUMMYFUNCTION("C339*IMPORTRANGE(""https://docs.google.com/spreadsheets/d/1xsp01RMmkav9iTy39Zaj_7tE9677EGlOJ14KU9TZn7I/"",""2003-2017!AC1916"")"),4169.19330931915)</f>
        <v>4169.1933093191501</v>
      </c>
      <c r="G345" s="64" t="s">
        <v>8</v>
      </c>
      <c r="K345" s="18"/>
      <c r="L345" s="2"/>
      <c r="M345" s="11"/>
      <c r="N345" s="11"/>
      <c r="O345" s="11"/>
      <c r="P345" s="11"/>
      <c r="Q345" s="1"/>
    </row>
    <row r="346" spans="1:17" ht="13.2" x14ac:dyDescent="0.25">
      <c r="A346" s="88" t="s">
        <v>314</v>
      </c>
      <c r="B346" s="89">
        <v>723</v>
      </c>
      <c r="C346" s="84">
        <f>72588.4/1000</f>
        <v>72.588399999999993</v>
      </c>
      <c r="D346" s="90">
        <f ca="1">IFERROR(__xludf.DUMMYFUNCTION("C340*IMPORTRANGE(""https://docs.google.com/spreadsheets/d/1xsp01RMmkav9iTy39Zaj_7tE9677EGlOJ14KU9TZn7I/"",""2003-2017!H1940"")"),54.9247387439999)</f>
        <v>54.924738743999903</v>
      </c>
      <c r="E346" s="90">
        <f ca="1">IFERROR(__xludf.DUMMYFUNCTION("C340*IMPORTRANGE(""https://docs.google.com/spreadsheets/d/1xsp01RMmkav9iTy39Zaj_7tE9677EGlOJ14KU9TZn7I/"",""2003-2017!T1940"")"),46.6264328559999)</f>
        <v>46.626432855999902</v>
      </c>
      <c r="F346" s="90">
        <f ca="1">IFERROR(__xludf.DUMMYFUNCTION("C340*IMPORTRANGE(""https://docs.google.com/spreadsheets/d/1xsp01RMmkav9iTy39Zaj_7tE9677EGlOJ14KU9TZn7I/"",""2003-2017!AC1940"")"),6074.05220778839)</f>
        <v>6074.0522077883898</v>
      </c>
      <c r="G346" s="69" t="s">
        <v>8</v>
      </c>
      <c r="K346" s="18"/>
      <c r="L346" s="2"/>
      <c r="M346" s="11"/>
      <c r="N346" s="11"/>
      <c r="O346" s="11"/>
      <c r="P346" s="11"/>
      <c r="Q346" s="1"/>
    </row>
    <row r="347" spans="1:17" ht="13.2" x14ac:dyDescent="0.25">
      <c r="A347" s="56">
        <v>2011</v>
      </c>
      <c r="B347" s="57"/>
      <c r="C347" s="60"/>
      <c r="D347" s="60"/>
      <c r="E347" s="60"/>
      <c r="F347" s="60"/>
      <c r="G347" s="59"/>
      <c r="K347" s="18"/>
      <c r="L347" s="2"/>
      <c r="M347" s="11"/>
      <c r="N347" s="11"/>
      <c r="O347" s="11"/>
      <c r="P347" s="11"/>
      <c r="Q347" s="1"/>
    </row>
    <row r="348" spans="1:17" ht="13.2" x14ac:dyDescent="0.25">
      <c r="A348" s="85" t="s">
        <v>315</v>
      </c>
      <c r="B348" s="86">
        <v>553</v>
      </c>
      <c r="C348" s="78">
        <f>35937.2/1000</f>
        <v>35.937199999999997</v>
      </c>
      <c r="D348" s="87">
        <f ca="1">IFERROR(__xludf.DUMMYFUNCTION("C342*IMPORTRANGE(""https://docs.google.com/spreadsheets/d/1xsp01RMmkav9iTy39Zaj_7tE9677EGlOJ14KU9TZn7I/"",""2003-2017!H1963"")"),26.9033066639999)</f>
        <v>26.903306663999899</v>
      </c>
      <c r="E348" s="87">
        <f ca="1">IFERROR(__xludf.DUMMYFUNCTION("C342*IMPORTRANGE(""https://docs.google.com/spreadsheets/d/1xsp01RMmkav9iTy39Zaj_7tE9677EGlOJ14KU9TZn7I/"",""2003-2017!T1963"")"),22.7029667279999)</f>
        <v>22.7029667279999</v>
      </c>
      <c r="F348" s="87">
        <f ca="1">IFERROR(__xludf.DUMMYFUNCTION("C342*IMPORTRANGE(""https://docs.google.com/spreadsheets/d/1xsp01RMmkav9iTy39Zaj_7tE9677EGlOJ14KU9TZn7I/"",""2003-2017!AC1963"")"),2970.9282521256)</f>
        <v>2970.9282521256</v>
      </c>
      <c r="G348" s="64" t="s">
        <v>8</v>
      </c>
      <c r="K348" s="18"/>
      <c r="L348" s="2"/>
      <c r="M348" s="11"/>
      <c r="N348" s="11"/>
      <c r="O348" s="11"/>
      <c r="P348" s="11"/>
      <c r="Q348" s="1"/>
    </row>
    <row r="349" spans="1:17" ht="13.2" x14ac:dyDescent="0.25">
      <c r="A349" s="88" t="s">
        <v>316</v>
      </c>
      <c r="B349" s="89">
        <v>448</v>
      </c>
      <c r="C349" s="84">
        <f>39628.5/1000</f>
        <v>39.628500000000003</v>
      </c>
      <c r="D349" s="90">
        <f ca="1">IFERROR(__xludf.DUMMYFUNCTION("C343*IMPORTRANGE(""https://docs.google.com/spreadsheets/d/1xsp01RMmkav9iTy39Zaj_7tE9677EGlOJ14KU9TZn7I/"",""2003-2017!H1984"")"),29.0312446725)</f>
        <v>29.031244672500002</v>
      </c>
      <c r="E349" s="90">
        <f ca="1">IFERROR(__xludf.DUMMYFUNCTION("C343*IMPORTRANGE(""https://docs.google.com/spreadsheets/d/1xsp01RMmkav9iTy39Zaj_7tE9677EGlOJ14KU9TZn7I/"",""2003-2017!T1984"")"),24.5655090075)</f>
        <v>24.565509007500001</v>
      </c>
      <c r="F349" s="90">
        <f ca="1">IFERROR(__xludf.DUMMYFUNCTION("C343*IMPORTRANGE(""https://docs.google.com/spreadsheets/d/1xsp01RMmkav9iTy39Zaj_7tE9677EGlOJ14KU9TZn7I/"",""2003-2017!AC1984"")"),3266.51787169275)</f>
        <v>3266.5178716927498</v>
      </c>
      <c r="G349" s="69" t="s">
        <v>8</v>
      </c>
      <c r="K349" s="18"/>
      <c r="L349" s="2"/>
      <c r="M349" s="11"/>
      <c r="N349" s="11"/>
      <c r="O349" s="11"/>
      <c r="P349" s="11"/>
      <c r="Q349" s="1"/>
    </row>
    <row r="350" spans="1:17" ht="13.2" x14ac:dyDescent="0.25">
      <c r="A350" s="85" t="s">
        <v>317</v>
      </c>
      <c r="B350" s="86">
        <v>521</v>
      </c>
      <c r="C350" s="78">
        <f>37732.5/1000</f>
        <v>37.732500000000002</v>
      </c>
      <c r="D350" s="87">
        <f ca="1">IFERROR(__xludf.DUMMYFUNCTION("C344*IMPORTRANGE(""https://docs.google.com/spreadsheets/d/1xsp01RMmkav9iTy39Zaj_7tE9677EGlOJ14KU9TZn7I/"",""2003-2017!H2008"")"),26.9696817)</f>
        <v>26.969681699999999</v>
      </c>
      <c r="E350" s="87">
        <f ca="1">IFERROR(__xludf.DUMMYFUNCTION("C344*IMPORTRANGE(""https://docs.google.com/spreadsheets/d/1xsp01RMmkav9iTy39Zaj_7tE9677EGlOJ14KU9TZn7I/"",""2003-2017!T2008"")"),23.3318913749999)</f>
        <v>23.331891374999898</v>
      </c>
      <c r="F350" s="87">
        <f ca="1">IFERROR(__xludf.DUMMYFUNCTION("C344*IMPORTRANGE(""https://docs.google.com/spreadsheets/d/1xsp01RMmkav9iTy39Zaj_7tE9677EGlOJ14KU9TZn7I/"",""2003-2017!AC2008"")"),3087.27315)</f>
        <v>3087.27315</v>
      </c>
      <c r="G350" s="64" t="s">
        <v>8</v>
      </c>
      <c r="K350" s="18"/>
      <c r="L350" s="2"/>
      <c r="M350" s="11"/>
      <c r="N350" s="11"/>
      <c r="O350" s="11"/>
      <c r="P350" s="11"/>
      <c r="Q350" s="1"/>
    </row>
    <row r="351" spans="1:17" ht="13.2" x14ac:dyDescent="0.25">
      <c r="A351" s="88" t="s">
        <v>318</v>
      </c>
      <c r="B351" s="89">
        <v>483</v>
      </c>
      <c r="C351" s="84">
        <f>52582.3/1000</f>
        <v>52.582300000000004</v>
      </c>
      <c r="D351" s="90">
        <f ca="1">IFERROR(__xludf.DUMMYFUNCTION("C345*IMPORTRANGE(""https://docs.google.com/spreadsheets/d/1xsp01RMmkav9iTy39Zaj_7tE9677EGlOJ14KU9TZn7I/"",""2003-2017!H2030"")"),36.419552626)</f>
        <v>36.419552625999998</v>
      </c>
      <c r="E351" s="90">
        <f ca="1">IFERROR(__xludf.DUMMYFUNCTION("C345*IMPORTRANGE(""https://docs.google.com/spreadsheets/d/1xsp01RMmkav9iTy39Zaj_7tE9677EGlOJ14KU9TZn7I/"",""2003-2017!T2030"")"),32.210339511)</f>
        <v>32.210339511000001</v>
      </c>
      <c r="F351" s="90">
        <f ca="1">IFERROR(__xludf.DUMMYFUNCTION("C345*IMPORTRANGE(""https://docs.google.com/spreadsheets/d/1xsp01RMmkav9iTy39Zaj_7tE9677EGlOJ14KU9TZn7I/"",""2003-2017!AC2030"")"),4377.6606182146)</f>
        <v>4377.6606182145997</v>
      </c>
      <c r="G351" s="69" t="s">
        <v>8</v>
      </c>
      <c r="K351" s="18"/>
      <c r="L351" s="2"/>
      <c r="M351" s="11"/>
      <c r="N351" s="11"/>
      <c r="O351" s="11"/>
      <c r="P351" s="11"/>
      <c r="Q351" s="1"/>
    </row>
    <row r="352" spans="1:17" ht="13.2" x14ac:dyDescent="0.25">
      <c r="A352" s="85" t="s">
        <v>319</v>
      </c>
      <c r="B352" s="86">
        <v>479</v>
      </c>
      <c r="C352" s="78">
        <f>25492/1000</f>
        <v>25.492000000000001</v>
      </c>
      <c r="D352" s="87">
        <f ca="1">IFERROR(__xludf.DUMMYFUNCTION("C346*IMPORTRANGE(""https://docs.google.com/spreadsheets/d/1xsp01RMmkav9iTy39Zaj_7tE9677EGlOJ14KU9TZn7I/"",""2003-2017!H2053"")"),17.8475865)</f>
        <v>17.847586499999998</v>
      </c>
      <c r="E352" s="87">
        <f ca="1">IFERROR(__xludf.DUMMYFUNCTION("C346*IMPORTRANGE(""https://docs.google.com/spreadsheets/d/1xsp01RMmkav9iTy39Zaj_7tE9677EGlOJ14KU9TZn7I/"",""2003-2017!T2053"")"),15.57930834)</f>
        <v>15.579308340000001</v>
      </c>
      <c r="F352" s="87">
        <f ca="1">IFERROR(__xludf.DUMMYFUNCTION("C346*IMPORTRANGE(""https://docs.google.com/spreadsheets/d/1xsp01RMmkav9iTy39Zaj_7tE9677EGlOJ14KU9TZn7I/"",""2003-2017!AC2053"")"),2065.502084238)</f>
        <v>2065.502084238</v>
      </c>
      <c r="G352" s="64" t="s">
        <v>8</v>
      </c>
      <c r="K352" s="18"/>
      <c r="L352" s="2"/>
      <c r="M352" s="11"/>
      <c r="N352" s="11"/>
      <c r="O352" s="11"/>
      <c r="P352" s="11"/>
      <c r="Q352" s="1"/>
    </row>
    <row r="353" spans="1:17" ht="13.2" x14ac:dyDescent="0.25">
      <c r="A353" s="88" t="s">
        <v>320</v>
      </c>
      <c r="B353" s="89">
        <v>546</v>
      </c>
      <c r="C353" s="84">
        <f>32832.9/1000</f>
        <v>32.832900000000002</v>
      </c>
      <c r="D353" s="90">
        <f ca="1">IFERROR(__xludf.DUMMYFUNCTION("C347*IMPORTRANGE(""https://docs.google.com/spreadsheets/d/1xsp01RMmkav9iTy39Zaj_7tE9677EGlOJ14KU9TZn7I/"",""2003-2017!H2076"")"),22.8485792745)</f>
        <v>22.8485792745</v>
      </c>
      <c r="E353" s="90">
        <f ca="1">IFERROR(__xludf.DUMMYFUNCTION("C347*IMPORTRANGE(""https://docs.google.com/spreadsheets/d/1xsp01RMmkav9iTy39Zaj_7tE9677EGlOJ14KU9TZn7I/"",""2003-2017!T2076"")"),20.2350804345)</f>
        <v>20.235080434499999</v>
      </c>
      <c r="F353" s="90">
        <f ca="1">IFERROR(__xludf.DUMMYFUNCTION("C347*IMPORTRANGE(""https://docs.google.com/spreadsheets/d/1xsp01RMmkav9iTy39Zaj_7tE9677EGlOJ14KU9TZn7I/"",""2003-2017!AC2076"")"),2640.14282043225)</f>
        <v>2640.1428204322501</v>
      </c>
      <c r="G353" s="69" t="s">
        <v>8</v>
      </c>
      <c r="K353" s="18"/>
      <c r="L353" s="2"/>
      <c r="M353" s="11"/>
      <c r="N353" s="11"/>
      <c r="O353" s="11"/>
      <c r="P353" s="11"/>
      <c r="Q353" s="1"/>
    </row>
    <row r="354" spans="1:17" ht="13.2" x14ac:dyDescent="0.25">
      <c r="A354" s="85" t="s">
        <v>321</v>
      </c>
      <c r="B354" s="86">
        <v>545</v>
      </c>
      <c r="C354" s="78">
        <f>42354.1/1000</f>
        <v>42.354099999999995</v>
      </c>
      <c r="D354" s="87">
        <f ca="1">IFERROR(__xludf.DUMMYFUNCTION("C348*IMPORTRANGE(""https://docs.google.com/spreadsheets/d/1xsp01RMmkav9iTy39Zaj_7tE9677EGlOJ14KU9TZn7I/"",""2003-2017!H2098"")"),29.5521497339999)</f>
        <v>29.552149733999901</v>
      </c>
      <c r="E354" s="87">
        <f ca="1">IFERROR(__xludf.DUMMYFUNCTION("C348*IMPORTRANGE(""https://docs.google.com/spreadsheets/d/1xsp01RMmkav9iTy39Zaj_7tE9677EGlOJ14KU9TZn7I/"",""2003-2017!T2098"")"),26.2874957059999)</f>
        <v>26.287495705999898</v>
      </c>
      <c r="F354" s="87">
        <f ca="1">IFERROR(__xludf.DUMMYFUNCTION("C348*IMPORTRANGE(""https://docs.google.com/spreadsheets/d/1xsp01RMmkav9iTy39Zaj_7tE9677EGlOJ14KU9TZn7I/"",""2003-2017!AC2098"")"),3351.31047424589)</f>
        <v>3351.31047424589</v>
      </c>
      <c r="G354" s="64" t="s">
        <v>8</v>
      </c>
      <c r="K354" s="18"/>
      <c r="L354" s="2"/>
      <c r="M354" s="11"/>
      <c r="N354" s="11"/>
      <c r="O354" s="11"/>
      <c r="P354" s="11"/>
      <c r="Q354" s="1"/>
    </row>
    <row r="355" spans="1:17" ht="13.2" x14ac:dyDescent="0.25">
      <c r="A355" s="88" t="s">
        <v>322</v>
      </c>
      <c r="B355" s="89">
        <v>503</v>
      </c>
      <c r="C355" s="84">
        <f>21271.9/1000</f>
        <v>21.271900000000002</v>
      </c>
      <c r="D355" s="90">
        <f ca="1">IFERROR(__xludf.DUMMYFUNCTION("C349*IMPORTRANGE(""https://docs.google.com/spreadsheets/d/1xsp01RMmkav9iTy39Zaj_7tE9677EGlOJ14KU9TZn7I/"",""2003-2017!H2122"")"),14.80949678)</f>
        <v>14.80949678</v>
      </c>
      <c r="E355" s="90">
        <f ca="1">IFERROR(__xludf.DUMMYFUNCTION("C349*IMPORTRANGE(""https://docs.google.com/spreadsheets/d/1xsp01RMmkav9iTy39Zaj_7tE9677EGlOJ14KU9TZn7I/"",""2003-2017!T2122"")"),12.994365553)</f>
        <v>12.994365553</v>
      </c>
      <c r="F355" s="90">
        <f ca="1">IFERROR(__xludf.DUMMYFUNCTION("C349*IMPORTRANGE(""https://docs.google.com/spreadsheets/d/1xsp01RMmkav9iTy39Zaj_7tE9677EGlOJ14KU9TZn7I/"",""2003-2017!AC2122"")"),1634.9582552719)</f>
        <v>1634.9582552719</v>
      </c>
      <c r="G355" s="69" t="s">
        <v>8</v>
      </c>
      <c r="K355" s="18"/>
      <c r="L355" s="2"/>
      <c r="M355" s="11"/>
      <c r="N355" s="11"/>
      <c r="O355" s="11"/>
      <c r="P355" s="11"/>
      <c r="Q355" s="1"/>
    </row>
    <row r="356" spans="1:17" ht="13.2" x14ac:dyDescent="0.25">
      <c r="A356" s="85" t="s">
        <v>323</v>
      </c>
      <c r="B356" s="86">
        <v>497</v>
      </c>
      <c r="C356" s="78">
        <f>18267.1/1000</f>
        <v>18.267099999999999</v>
      </c>
      <c r="D356" s="87">
        <f ca="1">IFERROR(__xludf.DUMMYFUNCTION("C350*IMPORTRANGE(""https://docs.google.com/spreadsheets/d/1xsp01RMmkav9iTy39Zaj_7tE9677EGlOJ14KU9TZn7I/"",""2003-2017!H2145"")"),13.343385866)</f>
        <v>13.343385866</v>
      </c>
      <c r="E356" s="87">
        <f ca="1">IFERROR(__xludf.DUMMYFUNCTION("C350*IMPORTRANGE(""https://docs.google.com/spreadsheets/d/1xsp01RMmkav9iTy39Zaj_7tE9677EGlOJ14KU9TZn7I/"",""2003-2017!T2145"")"),11.5775966445)</f>
        <v>11.5775966445</v>
      </c>
      <c r="F356" s="87">
        <f ca="1">IFERROR(__xludf.DUMMYFUNCTION("C350*IMPORTRANGE(""https://docs.google.com/spreadsheets/d/1xsp01RMmkav9iTy39Zaj_7tE9677EGlOJ14KU9TZn7I/"",""2003-2017!AC2145"")"),1402.66665588289)</f>
        <v>1402.6666558828899</v>
      </c>
      <c r="G356" s="64" t="s">
        <v>8</v>
      </c>
      <c r="K356" s="18"/>
      <c r="L356" s="2"/>
      <c r="M356" s="11"/>
      <c r="N356" s="11"/>
      <c r="O356" s="11"/>
      <c r="P356" s="11"/>
      <c r="Q356" s="1"/>
    </row>
    <row r="357" spans="1:17" ht="13.2" x14ac:dyDescent="0.25">
      <c r="A357" s="88" t="s">
        <v>324</v>
      </c>
      <c r="B357" s="89">
        <v>458</v>
      </c>
      <c r="C357" s="84">
        <f>38807.6/1000</f>
        <v>38.807600000000001</v>
      </c>
      <c r="D357" s="90">
        <f ca="1">IFERROR(__xludf.DUMMYFUNCTION("C351*IMPORTRANGE(""https://docs.google.com/spreadsheets/d/1xsp01RMmkav9iTy39Zaj_7tE9677EGlOJ14KU9TZn7I/"",""2003-2017!H2167"")"),28.236021684)</f>
        <v>28.236021684000001</v>
      </c>
      <c r="E357" s="90">
        <f ca="1">IFERROR(__xludf.DUMMYFUNCTION("C351*IMPORTRANGE(""https://docs.google.com/spreadsheets/d/1xsp01RMmkav9iTy39Zaj_7tE9677EGlOJ14KU9TZn7I/"",""2003-2017!T2167"")"),24.647482912)</f>
        <v>24.647482912000001</v>
      </c>
      <c r="F357" s="90">
        <f ca="1">IFERROR(__xludf.DUMMYFUNCTION("C351*IMPORTRANGE(""https://docs.google.com/spreadsheets/d/1xsp01RMmkav9iTy39Zaj_7tE9677EGlOJ14KU9TZn7I/"",""2003-2017!AC2167"")"),2978.8714536152)</f>
        <v>2978.8714536152002</v>
      </c>
      <c r="G357" s="69" t="s">
        <v>8</v>
      </c>
      <c r="K357" s="18"/>
      <c r="L357" s="2"/>
      <c r="M357" s="11"/>
      <c r="N357" s="11"/>
      <c r="O357" s="11"/>
      <c r="P357" s="11"/>
      <c r="Q357" s="1"/>
    </row>
    <row r="358" spans="1:17" ht="13.2" x14ac:dyDescent="0.25">
      <c r="A358" s="85" t="s">
        <v>325</v>
      </c>
      <c r="B358" s="86">
        <v>556</v>
      </c>
      <c r="C358" s="78">
        <f>41272.8/1000</f>
        <v>41.272800000000004</v>
      </c>
      <c r="D358" s="87">
        <f ca="1">IFERROR(__xludf.DUMMYFUNCTION("C352*IMPORTRANGE(""https://docs.google.com/spreadsheets/d/1xsp01RMmkav9iTy39Zaj_7tE9677EGlOJ14KU9TZn7I/"",""2003-2017!H2190"")"),30.508441032)</f>
        <v>30.508441032</v>
      </c>
      <c r="E358" s="87">
        <f ca="1">IFERROR(__xludf.DUMMYFUNCTION("C352*IMPORTRANGE(""https://docs.google.com/spreadsheets/d/1xsp01RMmkav9iTy39Zaj_7tE9677EGlOJ14KU9TZn7I/"",""2003-2017!T2190"")"),26.035088604)</f>
        <v>26.035088603999998</v>
      </c>
      <c r="F358" s="87">
        <f ca="1">IFERROR(__xludf.DUMMYFUNCTION("C352*IMPORTRANGE(""https://docs.google.com/spreadsheets/d/1xsp01RMmkav9iTy39Zaj_7tE9677EGlOJ14KU9TZn7I/"",""2003-2017!AC2190"")"),3205.2250116)</f>
        <v>3205.2250116</v>
      </c>
      <c r="G358" s="64" t="s">
        <v>8</v>
      </c>
      <c r="K358" s="18"/>
      <c r="L358" s="2"/>
      <c r="M358" s="11"/>
      <c r="N358" s="11"/>
      <c r="O358" s="11"/>
      <c r="P358" s="11"/>
      <c r="Q358" s="1"/>
    </row>
    <row r="359" spans="1:17" ht="13.2" x14ac:dyDescent="0.25">
      <c r="A359" s="88" t="s">
        <v>326</v>
      </c>
      <c r="B359" s="89">
        <v>676</v>
      </c>
      <c r="C359" s="84">
        <f>45736.5/1000</f>
        <v>45.736499999999999</v>
      </c>
      <c r="D359" s="90">
        <f ca="1">IFERROR(__xludf.DUMMYFUNCTION("C353*IMPORTRANGE(""https://docs.google.com/spreadsheets/d/1xsp01RMmkav9iTy39Zaj_7tE9677EGlOJ14KU9TZn7I/"",""2003-2017!H2213"")"),35.00946129)</f>
        <v>35.009461289999997</v>
      </c>
      <c r="E359" s="90">
        <f ca="1">IFERROR(__xludf.DUMMYFUNCTION("C353*IMPORTRANGE(""https://docs.google.com/spreadsheets/d/1xsp01RMmkav9iTy39Zaj_7tE9677EGlOJ14KU9TZn7I/"",""2003-2017!T2213"")"),29.2912553774999)</f>
        <v>29.291255377499901</v>
      </c>
      <c r="F359" s="90">
        <f ca="1">IFERROR(__xludf.DUMMYFUNCTION("C353*IMPORTRANGE(""https://docs.google.com/spreadsheets/d/1xsp01RMmkav9iTy39Zaj_7tE9677EGlOJ14KU9TZn7I/"",""2003-2017!AC2213"")"),3560.81518463174)</f>
        <v>3560.8151846317401</v>
      </c>
      <c r="G359" s="69" t="s">
        <v>8</v>
      </c>
      <c r="K359" s="18"/>
      <c r="L359" s="2"/>
      <c r="M359" s="11"/>
      <c r="N359" s="11"/>
      <c r="O359" s="11"/>
      <c r="P359" s="11"/>
      <c r="Q359" s="1"/>
    </row>
    <row r="360" spans="1:17" ht="13.2" x14ac:dyDescent="0.25">
      <c r="A360" s="56">
        <v>2012</v>
      </c>
      <c r="B360" s="57"/>
      <c r="C360" s="60"/>
      <c r="D360" s="60"/>
      <c r="E360" s="60"/>
      <c r="F360" s="60"/>
      <c r="G360" s="59"/>
      <c r="K360" s="18"/>
      <c r="L360" s="2"/>
      <c r="M360" s="11"/>
      <c r="N360" s="11"/>
      <c r="O360" s="11"/>
      <c r="P360" s="11"/>
      <c r="Q360" s="1"/>
    </row>
    <row r="361" spans="1:17" ht="13.2" x14ac:dyDescent="0.25">
      <c r="A361" s="85" t="s">
        <v>327</v>
      </c>
      <c r="B361" s="86">
        <v>548</v>
      </c>
      <c r="C361" s="78">
        <f>23171.8/1000</f>
        <v>23.171799999999998</v>
      </c>
      <c r="D361" s="87">
        <f ca="1">IFERROR(__xludf.DUMMYFUNCTION("C355*IMPORTRANGE(""https://docs.google.com/spreadsheets/d/1xsp01RMmkav9iTy39Zaj_7tE9677EGlOJ14KU9TZn7I/"",""2003-2017!H2237"")"),17.9514251779999)</f>
        <v>17.951425177999901</v>
      </c>
      <c r="E361" s="87">
        <f ca="1">IFERROR(__xludf.DUMMYFUNCTION("C355*IMPORTRANGE(""https://docs.google.com/spreadsheets/d/1xsp01RMmkav9iTy39Zaj_7tE9677EGlOJ14KU9TZn7I/"",""2003-2017!T2237"")"),14.942914525)</f>
        <v>14.942914525000001</v>
      </c>
      <c r="F361" s="87">
        <f ca="1">IFERROR(__xludf.DUMMYFUNCTION("C355*IMPORTRANGE(""https://docs.google.com/spreadsheets/d/1xsp01RMmkav9iTy39Zaj_7tE9677EGlOJ14KU9TZn7I/"",""2003-2017!AC2237"")"),1781.56390092949)</f>
        <v>1781.56390092949</v>
      </c>
      <c r="G361" s="64" t="s">
        <v>8</v>
      </c>
      <c r="K361" s="18"/>
      <c r="L361" s="2"/>
      <c r="M361" s="11"/>
      <c r="N361" s="11"/>
      <c r="O361" s="11"/>
      <c r="P361" s="11"/>
      <c r="Q361" s="1"/>
    </row>
    <row r="362" spans="1:17" ht="13.2" x14ac:dyDescent="0.25">
      <c r="A362" s="88" t="s">
        <v>328</v>
      </c>
      <c r="B362" s="89">
        <v>474</v>
      </c>
      <c r="C362" s="84">
        <f>18599.1/1000</f>
        <v>18.5991</v>
      </c>
      <c r="D362" s="90">
        <f ca="1">IFERROR(__xludf.DUMMYFUNCTION("C356*IMPORTRANGE(""https://docs.google.com/spreadsheets/d/1xsp01RMmkav9iTy39Zaj_7tE9677EGlOJ14KU9TZn7I/"",""2003-2017!H2259"")"),14.061291582)</f>
        <v>14.061291582000001</v>
      </c>
      <c r="E362" s="90">
        <f ca="1">IFERROR(__xludf.DUMMYFUNCTION("C356*IMPORTRANGE(""https://docs.google.com/spreadsheets/d/1xsp01RMmkav9iTy39Zaj_7tE9677EGlOJ14KU9TZn7I/"",""2003-2017!T2259"")"),11.76579066)</f>
        <v>11.76579066</v>
      </c>
      <c r="F362" s="90">
        <f ca="1">IFERROR(__xludf.DUMMYFUNCTION("C356*IMPORTRANGE(""https://docs.google.com/spreadsheets/d/1xsp01RMmkav9iTy39Zaj_7tE9677EGlOJ14KU9TZn7I/"",""2003-2017!AC2259"")"),1457.4254945991)</f>
        <v>1457.4254945990999</v>
      </c>
      <c r="G362" s="69" t="s">
        <v>8</v>
      </c>
      <c r="K362" s="18"/>
      <c r="L362" s="2"/>
      <c r="M362" s="11"/>
      <c r="N362" s="11"/>
      <c r="O362" s="11"/>
      <c r="P362" s="11"/>
      <c r="Q362" s="1"/>
    </row>
    <row r="363" spans="1:17" ht="13.2" x14ac:dyDescent="0.25">
      <c r="A363" s="85" t="s">
        <v>329</v>
      </c>
      <c r="B363" s="86">
        <v>522</v>
      </c>
      <c r="C363" s="78">
        <f>45592.6/1000</f>
        <v>45.592599999999997</v>
      </c>
      <c r="D363" s="87">
        <f ca="1">IFERROR(__xludf.DUMMYFUNCTION("C357*IMPORTRANGE(""https://docs.google.com/spreadsheets/d/1xsp01RMmkav9iTy39Zaj_7tE9677EGlOJ14KU9TZn7I/"",""2003-2017!H2282"")"),34.48168338)</f>
        <v>34.48168338</v>
      </c>
      <c r="E363" s="87">
        <f ca="1">IFERROR(__xludf.DUMMYFUNCTION("C357*IMPORTRANGE(""https://docs.google.com/spreadsheets/d/1xsp01RMmkav9iTy39Zaj_7tE9677EGlOJ14KU9TZn7I/"",""2003-2017!T2282"")"),28.7650552289999)</f>
        <v>28.765055228999898</v>
      </c>
      <c r="F363" s="87">
        <f ca="1">IFERROR(__xludf.DUMMYFUNCTION("C357*IMPORTRANGE(""https://docs.google.com/spreadsheets/d/1xsp01RMmkav9iTy39Zaj_7tE9677EGlOJ14KU9TZn7I/"",""2003-2017!AC2282"")"),3763.64631090369)</f>
        <v>3763.6463109036899</v>
      </c>
      <c r="G363" s="64" t="s">
        <v>8</v>
      </c>
      <c r="K363" s="18"/>
      <c r="L363" s="2"/>
      <c r="M363" s="11"/>
      <c r="N363" s="11"/>
      <c r="O363" s="11"/>
      <c r="P363" s="11"/>
      <c r="Q363" s="1"/>
    </row>
    <row r="364" spans="1:17" ht="13.2" x14ac:dyDescent="0.25">
      <c r="A364" s="88" t="s">
        <v>330</v>
      </c>
      <c r="B364" s="89">
        <v>475</v>
      </c>
      <c r="C364" s="84">
        <f>28347.6/1000</f>
        <v>28.3476</v>
      </c>
      <c r="D364" s="90">
        <f ca="1">IFERROR(__xludf.DUMMYFUNCTION("C358*IMPORTRANGE(""https://docs.google.com/spreadsheets/d/1xsp01RMmkav9iTy39Zaj_7tE9677EGlOJ14KU9TZn7I/"",""2003-2017!H2304"")"),21.56401932)</f>
        <v>21.56401932</v>
      </c>
      <c r="E364" s="90">
        <f ca="1">IFERROR(__xludf.DUMMYFUNCTION("C358*IMPORTRANGE(""https://docs.google.com/spreadsheets/d/1xsp01RMmkav9iTy39Zaj_7tE9677EGlOJ14KU9TZn7I/"",""2003-2017!T2304"")"),17.76260616)</f>
        <v>17.762606160000001</v>
      </c>
      <c r="F364" s="90">
        <f ca="1">IFERROR(__xludf.DUMMYFUNCTION("C358*IMPORTRANGE(""https://docs.google.com/spreadsheets/d/1xsp01RMmkav9iTy39Zaj_7tE9677EGlOJ14KU9TZn7I/"",""2003-2017!AC2304"")"),2304.6599650428)</f>
        <v>2304.6599650428002</v>
      </c>
      <c r="G364" s="69" t="s">
        <v>8</v>
      </c>
      <c r="K364" s="18"/>
      <c r="L364" s="2"/>
      <c r="M364" s="11"/>
      <c r="N364" s="11"/>
      <c r="O364" s="11"/>
      <c r="P364" s="11"/>
      <c r="Q364" s="1"/>
    </row>
    <row r="365" spans="1:17" ht="13.2" x14ac:dyDescent="0.25">
      <c r="A365" s="85" t="s">
        <v>331</v>
      </c>
      <c r="B365" s="86">
        <v>531</v>
      </c>
      <c r="C365" s="78">
        <f>42345.8/1000</f>
        <v>42.345800000000004</v>
      </c>
      <c r="D365" s="87">
        <f ca="1">IFERROR(__xludf.DUMMYFUNCTION("C359*IMPORTRANGE(""https://docs.google.com/spreadsheets/d/1xsp01RMmkav9iTy39Zaj_7tE9677EGlOJ14KU9TZn7I/"",""2003-2017!H2328"")"),33.05513148)</f>
        <v>33.05513148</v>
      </c>
      <c r="E365" s="87">
        <f ca="1">IFERROR(__xludf.DUMMYFUNCTION("C359*IMPORTRANGE(""https://docs.google.com/spreadsheets/d/1xsp01RMmkav9iTy39Zaj_7tE9677EGlOJ14KU9TZn7I/"",""2003-2017!T2328"")"),26.4872979)</f>
        <v>26.487297900000002</v>
      </c>
      <c r="F365" s="87">
        <f ca="1">IFERROR(__xludf.DUMMYFUNCTION("C359*IMPORTRANGE(""https://docs.google.com/spreadsheets/d/1xsp01RMmkav9iTy39Zaj_7tE9677EGlOJ14KU9TZn7I/"",""2003-2017!AC2328"")"),3381.3120453084)</f>
        <v>3381.3120453083998</v>
      </c>
      <c r="G365" s="64" t="s">
        <v>8</v>
      </c>
      <c r="K365" s="18"/>
      <c r="L365" s="2"/>
      <c r="M365" s="11"/>
      <c r="N365" s="11"/>
      <c r="O365" s="11"/>
      <c r="P365" s="11"/>
      <c r="Q365" s="1"/>
    </row>
    <row r="366" spans="1:17" ht="13.2" x14ac:dyDescent="0.25">
      <c r="A366" s="88" t="s">
        <v>332</v>
      </c>
      <c r="B366" s="89">
        <v>495</v>
      </c>
      <c r="C366" s="84">
        <f>29803.3/1000</f>
        <v>29.8033</v>
      </c>
      <c r="D366" s="90">
        <f ca="1">IFERROR(__xludf.DUMMYFUNCTION("C360*IMPORTRANGE(""https://docs.google.com/spreadsheets/d/1xsp01RMmkav9iTy39Zaj_7tE9677EGlOJ14KU9TZn7I/"",""2003-2017!H2350"")"),23.7711120799999)</f>
        <v>23.771112079999899</v>
      </c>
      <c r="E366" s="90">
        <f ca="1">IFERROR(__xludf.DUMMYFUNCTION("C360*IMPORTRANGE(""https://docs.google.com/spreadsheets/d/1xsp01RMmkav9iTy39Zaj_7tE9677EGlOJ14KU9TZn7I/"",""2003-2017!T2350"")"),19.16054157)</f>
        <v>19.160541569999999</v>
      </c>
      <c r="F366" s="90">
        <f ca="1">IFERROR(__xludf.DUMMYFUNCTION("C360*IMPORTRANGE(""https://docs.google.com/spreadsheets/d/1xsp01RMmkav9iTy39Zaj_7tE9677EGlOJ14KU9TZn7I/"",""2003-2017!AC2350"")"),2365.5475872066)</f>
        <v>2365.5475872065999</v>
      </c>
      <c r="G366" s="69" t="s">
        <v>8</v>
      </c>
      <c r="K366" s="18"/>
      <c r="L366" s="2"/>
      <c r="M366" s="11"/>
      <c r="N366" s="11"/>
      <c r="O366" s="11"/>
      <c r="P366" s="11"/>
      <c r="Q366" s="1"/>
    </row>
    <row r="367" spans="1:17" ht="13.2" x14ac:dyDescent="0.25">
      <c r="A367" s="85" t="s">
        <v>333</v>
      </c>
      <c r="B367" s="86">
        <v>499</v>
      </c>
      <c r="C367" s="78">
        <f>28205.7/1000</f>
        <v>28.2057</v>
      </c>
      <c r="D367" s="87">
        <f ca="1">IFERROR(__xludf.DUMMYFUNCTION("C361*IMPORTRANGE(""https://docs.google.com/spreadsheets/d/1xsp01RMmkav9iTy39Zaj_7tE9677EGlOJ14KU9TZn7I/"",""2003-2017!H2373"")"),22.979747904)</f>
        <v>22.979747904</v>
      </c>
      <c r="E367" s="87">
        <f ca="1">IFERROR(__xludf.DUMMYFUNCTION("C361*IMPORTRANGE(""https://docs.google.com/spreadsheets/d/1xsp01RMmkav9iTy39Zaj_7tE9677EGlOJ14KU9TZn7I/"",""2003-2017!T2373"")"),18.085212783)</f>
        <v>18.085212782999999</v>
      </c>
      <c r="F367" s="87">
        <f ca="1">IFERROR(__xludf.DUMMYFUNCTION("C361*IMPORTRANGE(""https://docs.google.com/spreadsheets/d/1xsp01RMmkav9iTy39Zaj_7tE9677EGlOJ14KU9TZn7I/"",""2003-2017!AC2373"")"),2232.00164399715)</f>
        <v>2232.00164399715</v>
      </c>
      <c r="G367" s="64" t="s">
        <v>8</v>
      </c>
      <c r="K367" s="18"/>
      <c r="L367" s="2"/>
      <c r="M367" s="11"/>
      <c r="N367" s="11"/>
      <c r="O367" s="11"/>
      <c r="P367" s="11"/>
      <c r="Q367" s="1"/>
    </row>
    <row r="368" spans="1:17" ht="13.2" x14ac:dyDescent="0.25">
      <c r="A368" s="88" t="s">
        <v>334</v>
      </c>
      <c r="B368" s="89">
        <v>455</v>
      </c>
      <c r="C368" s="84">
        <f>26444.5/1000</f>
        <v>26.444500000000001</v>
      </c>
      <c r="D368" s="90">
        <f ca="1">IFERROR(__xludf.DUMMYFUNCTION("C362*IMPORTRANGE(""https://docs.google.com/spreadsheets/d/1xsp01RMmkav9iTy39Zaj_7tE9677EGlOJ14KU9TZn7I/"",""2003-2017!H2397"")"),21.372180455)</f>
        <v>21.372180454999999</v>
      </c>
      <c r="E368" s="90">
        <f ca="1">IFERROR(__xludf.DUMMYFUNCTION("C362*IMPORTRANGE(""https://docs.google.com/spreadsheets/d/1xsp01RMmkav9iTy39Zaj_7tE9677EGlOJ14KU9TZn7I/"",""2003-2017!T2397"")"),16.86365765)</f>
        <v>16.86365765</v>
      </c>
      <c r="F368" s="90">
        <f ca="1">IFERROR(__xludf.DUMMYFUNCTION("C362*IMPORTRANGE(""https://docs.google.com/spreadsheets/d/1xsp01RMmkav9iTy39Zaj_7tE9677EGlOJ14KU9TZn7I/"",""2003-2017!AC2397"")"),2078.8021714445)</f>
        <v>2078.8021714444999</v>
      </c>
      <c r="G368" s="69" t="s">
        <v>8</v>
      </c>
      <c r="K368" s="18"/>
      <c r="L368" s="2"/>
      <c r="M368" s="11"/>
      <c r="N368" s="11"/>
      <c r="O368" s="11"/>
      <c r="P368" s="11"/>
      <c r="Q368" s="1"/>
    </row>
    <row r="369" spans="1:17" ht="13.2" x14ac:dyDescent="0.25">
      <c r="A369" s="85" t="s">
        <v>335</v>
      </c>
      <c r="B369" s="86">
        <v>437</v>
      </c>
      <c r="C369" s="78">
        <f>16792.3/1000</f>
        <v>16.792300000000001</v>
      </c>
      <c r="D369" s="87">
        <f ca="1">IFERROR(__xludf.DUMMYFUNCTION("C363*IMPORTRANGE(""https://docs.google.com/spreadsheets/d/1xsp01RMmkav9iTy39Zaj_7tE9677EGlOJ14KU9TZn7I/"",""2003-2017!H2418"")"),13.0156277685)</f>
        <v>13.0156277685</v>
      </c>
      <c r="E369" s="87">
        <f ca="1">IFERROR(__xludf.DUMMYFUNCTION("C363*IMPORTRANGE(""https://docs.google.com/spreadsheets/d/1xsp01RMmkav9iTy39Zaj_7tE9677EGlOJ14KU9TZn7I/"",""2003-2017!T2418"")"),10.386877165)</f>
        <v>10.386877165</v>
      </c>
      <c r="F369" s="87">
        <f ca="1">IFERROR(__xludf.DUMMYFUNCTION("C363*IMPORTRANGE(""https://docs.google.com/spreadsheets/d/1xsp01RMmkav9iTy39Zaj_7tE9677EGlOJ14KU9TZn7I/"",""2003-2017!AC2418"")"),1313.53568675)</f>
        <v>1313.53568675</v>
      </c>
      <c r="G369" s="64" t="s">
        <v>8</v>
      </c>
      <c r="K369" s="18"/>
      <c r="L369" s="2"/>
      <c r="M369" s="11"/>
      <c r="N369" s="11"/>
      <c r="O369" s="11"/>
      <c r="P369" s="11"/>
      <c r="Q369" s="1"/>
    </row>
    <row r="370" spans="1:17" ht="13.2" x14ac:dyDescent="0.25">
      <c r="A370" s="88" t="s">
        <v>336</v>
      </c>
      <c r="B370" s="89">
        <v>510</v>
      </c>
      <c r="C370" s="84">
        <f>54205.4/1000</f>
        <v>54.205400000000004</v>
      </c>
      <c r="D370" s="90">
        <f ca="1">IFERROR(__xludf.DUMMYFUNCTION("C364*IMPORTRANGE(""https://docs.google.com/spreadsheets/d/1xsp01RMmkav9iTy39Zaj_7tE9677EGlOJ14KU9TZn7I/"",""2003-2017!H2442"")"),41.81675583)</f>
        <v>41.816755829999998</v>
      </c>
      <c r="E370" s="90">
        <f ca="1">IFERROR(__xludf.DUMMYFUNCTION("C364*IMPORTRANGE(""https://docs.google.com/spreadsheets/d/1xsp01RMmkav9iTy39Zaj_7tE9677EGlOJ14KU9TZn7I/"",""2003-2017!T2442"")"),33.72117934)</f>
        <v>33.721179339999999</v>
      </c>
      <c r="F370" s="90">
        <f ca="1">IFERROR(__xludf.DUMMYFUNCTION("C364*IMPORTRANGE(""https://docs.google.com/spreadsheets/d/1xsp01RMmkav9iTy39Zaj_7tE9677EGlOJ14KU9TZn7I/"",""2003-2017!AC2442"")"),4270.7893148054)</f>
        <v>4270.7893148054</v>
      </c>
      <c r="G370" s="69" t="s">
        <v>8</v>
      </c>
      <c r="K370" s="18"/>
      <c r="L370" s="2"/>
      <c r="M370" s="11"/>
      <c r="N370" s="11"/>
      <c r="O370" s="11"/>
      <c r="P370" s="11"/>
      <c r="Q370" s="1"/>
    </row>
    <row r="371" spans="1:17" ht="13.2" x14ac:dyDescent="0.25">
      <c r="A371" s="85" t="s">
        <v>337</v>
      </c>
      <c r="B371" s="86">
        <v>555</v>
      </c>
      <c r="C371" s="78">
        <f>24624.2/1000</f>
        <v>24.624200000000002</v>
      </c>
      <c r="D371" s="87">
        <f ca="1">IFERROR(__xludf.DUMMYFUNCTION("C365*IMPORTRANGE(""https://docs.google.com/spreadsheets/d/1xsp01RMmkav9iTy39Zaj_7tE9677EGlOJ14KU9TZn7I/"",""2003-2017!H2465"")"),19.220788673)</f>
        <v>19.220788673000001</v>
      </c>
      <c r="E371" s="87">
        <f ca="1">IFERROR(__xludf.DUMMYFUNCTION("C365*IMPORTRANGE(""https://docs.google.com/spreadsheets/d/1xsp01RMmkav9iTy39Zaj_7tE9677EGlOJ14KU9TZn7I/"",""2003-2017!T2465"")"),15.409578118)</f>
        <v>15.409578118000001</v>
      </c>
      <c r="F371" s="87">
        <f ca="1">IFERROR(__xludf.DUMMYFUNCTION("C365*IMPORTRANGE(""https://docs.google.com/spreadsheets/d/1xsp01RMmkav9iTy39Zaj_7tE9677EGlOJ14KU9TZn7I/"",""2003-2017!AC2465"")"),1989.8816389363)</f>
        <v>1989.8816389363001</v>
      </c>
      <c r="G371" s="64" t="s">
        <v>8</v>
      </c>
      <c r="K371" s="18"/>
      <c r="L371" s="2"/>
      <c r="M371" s="11"/>
      <c r="N371" s="11"/>
      <c r="O371" s="11"/>
      <c r="P371" s="11"/>
      <c r="Q371" s="1"/>
    </row>
    <row r="372" spans="1:17" ht="13.2" x14ac:dyDescent="0.25">
      <c r="A372" s="88" t="s">
        <v>338</v>
      </c>
      <c r="B372" s="89">
        <v>605</v>
      </c>
      <c r="C372" s="84">
        <f>36704/1000</f>
        <v>36.704000000000001</v>
      </c>
      <c r="D372" s="90">
        <f ca="1">IFERROR(__xludf.DUMMYFUNCTION("C366*IMPORTRANGE(""https://docs.google.com/spreadsheets/d/1xsp01RMmkav9iTy39Zaj_7tE9677EGlOJ14KU9TZn7I/"",""2003-2017!H2487"")"),27.87925728)</f>
        <v>27.879257280000001</v>
      </c>
      <c r="E372" s="90">
        <f ca="1">IFERROR(__xludf.DUMMYFUNCTION("C366*IMPORTRANGE(""https://docs.google.com/spreadsheets/d/1xsp01RMmkav9iTy39Zaj_7tE9677EGlOJ14KU9TZn7I/"",""2003-2017!T2487"")"),22.7601504)</f>
        <v>22.760150400000001</v>
      </c>
      <c r="F372" s="90">
        <f ca="1">IFERROR(__xludf.DUMMYFUNCTION("C366*IMPORTRANGE(""https://docs.google.com/spreadsheets/d/1xsp01RMmkav9iTy39Zaj_7tE9677EGlOJ14KU9TZn7I/"",""2003-2017!AC2487"")"),3079.575712)</f>
        <v>3079.5757119999998</v>
      </c>
      <c r="G372" s="69" t="s">
        <v>8</v>
      </c>
      <c r="K372" s="18"/>
      <c r="L372" s="2"/>
      <c r="M372" s="11"/>
      <c r="N372" s="11"/>
      <c r="O372" s="11"/>
      <c r="P372" s="11"/>
      <c r="Q372" s="1"/>
    </row>
    <row r="373" spans="1:17" ht="13.2" x14ac:dyDescent="0.25">
      <c r="A373" s="56">
        <v>2013</v>
      </c>
      <c r="B373" s="57"/>
      <c r="C373" s="60"/>
      <c r="D373" s="60"/>
      <c r="E373" s="60"/>
      <c r="F373" s="60"/>
      <c r="G373" s="59"/>
      <c r="K373" s="18"/>
      <c r="L373" s="2"/>
      <c r="M373" s="11"/>
      <c r="N373" s="11"/>
      <c r="O373" s="11"/>
      <c r="P373" s="11"/>
      <c r="Q373" s="1"/>
    </row>
    <row r="374" spans="1:17" ht="13.2" x14ac:dyDescent="0.25">
      <c r="A374" s="85" t="s">
        <v>339</v>
      </c>
      <c r="B374" s="86">
        <v>570</v>
      </c>
      <c r="C374" s="78">
        <f>23851.2/1000</f>
        <v>23.851200000000002</v>
      </c>
      <c r="D374" s="87">
        <f ca="1">IFERROR(__xludf.DUMMYFUNCTION("C368*IMPORTRANGE(""https://docs.google.com/spreadsheets/d/1xsp01RMmkav9iTy39Zaj_7tE9677EGlOJ14KU9TZn7I/"",""2003-2017!H2512"")"),17.92179168)</f>
        <v>17.921791679999998</v>
      </c>
      <c r="E374" s="87">
        <f ca="1">IFERROR(__xludf.DUMMYFUNCTION("C368*IMPORTRANGE(""https://docs.google.com/spreadsheets/d/1xsp01RMmkav9iTy39Zaj_7tE9677EGlOJ14KU9TZn7I/"",""2003-2017!T2512"")"),14.89268928)</f>
        <v>14.892689280000001</v>
      </c>
      <c r="F374" s="87">
        <f ca="1">IFERROR(__xludf.DUMMYFUNCTION("C368*IMPORTRANGE(""https://docs.google.com/spreadsheets/d/1xsp01RMmkav9iTy39Zaj_7tE9677EGlOJ14KU9TZn7I/"",""2003-2017!AC2512"")"),2116.794)</f>
        <v>2116.7939999999999</v>
      </c>
      <c r="G374" s="64" t="s">
        <v>8</v>
      </c>
      <c r="K374" s="18"/>
      <c r="L374" s="2"/>
      <c r="M374" s="11"/>
      <c r="N374" s="11"/>
      <c r="O374" s="11"/>
      <c r="P374" s="11"/>
      <c r="Q374" s="1"/>
    </row>
    <row r="375" spans="1:17" ht="13.2" x14ac:dyDescent="0.25">
      <c r="A375" s="88" t="s">
        <v>340</v>
      </c>
      <c r="B375" s="89">
        <v>459</v>
      </c>
      <c r="C375" s="84">
        <f>25840.1/1000</f>
        <v>25.8401</v>
      </c>
      <c r="D375" s="90">
        <f ca="1">IFERROR(__xludf.DUMMYFUNCTION("C369*IMPORTRANGE(""https://docs.google.com/spreadsheets/d/1xsp01RMmkav9iTy39Zaj_7tE9677EGlOJ14KU9TZn7I/"",""2003-2017!H2533"")"),19.314182745)</f>
        <v>19.314182745</v>
      </c>
      <c r="E375" s="90">
        <f ca="1">IFERROR(__xludf.DUMMYFUNCTION("C369*IMPORTRANGE(""https://docs.google.com/spreadsheets/d/1xsp01RMmkav9iTy39Zaj_7tE9677EGlOJ14KU9TZn7I/"",""2003-2017!T2533"")"),16.6605336754999)</f>
        <v>16.660533675499899</v>
      </c>
      <c r="F375" s="90">
        <f ca="1">IFERROR(__xludf.DUMMYFUNCTION("C369*IMPORTRANGE(""https://docs.google.com/spreadsheets/d/1xsp01RMmkav9iTy39Zaj_7tE9677EGlOJ14KU9TZn7I/"",""2003-2017!AC2533"")"),2410.37740928984)</f>
        <v>2410.3774092898402</v>
      </c>
      <c r="G375" s="69" t="s">
        <v>8</v>
      </c>
      <c r="K375" s="18"/>
      <c r="L375" s="2"/>
      <c r="M375" s="11"/>
      <c r="N375" s="11"/>
      <c r="O375" s="11"/>
      <c r="P375" s="11"/>
      <c r="Q375" s="1"/>
    </row>
    <row r="376" spans="1:17" ht="13.2" x14ac:dyDescent="0.25">
      <c r="A376" s="85" t="s">
        <v>341</v>
      </c>
      <c r="B376" s="86">
        <v>474</v>
      </c>
      <c r="C376" s="78">
        <f>25990.5/1000</f>
        <v>25.990500000000001</v>
      </c>
      <c r="D376" s="87">
        <f ca="1">IFERROR(__xludf.DUMMYFUNCTION("C370*IMPORTRANGE(""https://docs.google.com/spreadsheets/d/1xsp01RMmkav9iTy39Zaj_7tE9677EGlOJ14KU9TZn7I/"",""2003-2017!H2555"")"),20.02568025)</f>
        <v>20.025680250000001</v>
      </c>
      <c r="E376" s="87">
        <f ca="1">IFERROR(__xludf.DUMMYFUNCTION("C370*IMPORTRANGE(""https://docs.google.com/spreadsheets/d/1xsp01RMmkav9iTy39Zaj_7tE9677EGlOJ14KU9TZn7I/"",""2003-2017!T2555"")"),17.21350815)</f>
        <v>17.213508149999999</v>
      </c>
      <c r="F376" s="87">
        <f ca="1">IFERROR(__xludf.DUMMYFUNCTION("C370*IMPORTRANGE(""https://docs.google.com/spreadsheets/d/1xsp01RMmkav9iTy39Zaj_7tE9677EGlOJ14KU9TZn7I/"",""2003-2017!AC2555"")"),2466.2125545)</f>
        <v>2466.2125544999999</v>
      </c>
      <c r="G376" s="64" t="s">
        <v>8</v>
      </c>
      <c r="K376" s="18"/>
      <c r="L376" s="2"/>
      <c r="M376" s="11"/>
      <c r="N376" s="11"/>
      <c r="O376" s="11"/>
      <c r="P376" s="11"/>
      <c r="Q376" s="1"/>
    </row>
    <row r="377" spans="1:17" ht="13.2" x14ac:dyDescent="0.25">
      <c r="A377" s="88" t="s">
        <v>342</v>
      </c>
      <c r="B377" s="89">
        <v>479</v>
      </c>
      <c r="C377" s="84">
        <f>27568.2/1000</f>
        <v>27.568200000000001</v>
      </c>
      <c r="D377" s="90">
        <f ca="1">IFERROR(__xludf.DUMMYFUNCTION("C371*IMPORTRANGE(""https://docs.google.com/spreadsheets/d/1xsp01RMmkav9iTy39Zaj_7tE9677EGlOJ14KU9TZn7I/"",""2003-2017!H2578"")"),21.143293149)</f>
        <v>21.143293149000002</v>
      </c>
      <c r="E377" s="90">
        <f ca="1">IFERROR(__xludf.DUMMYFUNCTION("C371*IMPORTRANGE(""https://docs.google.com/spreadsheets/d/1xsp01RMmkav9iTy39Zaj_7tE9677EGlOJ14KU9TZn7I/"",""2003-2017!T2578"")"),18.029740641)</f>
        <v>18.029740641</v>
      </c>
      <c r="F377" s="90">
        <f ca="1">IFERROR(__xludf.DUMMYFUNCTION("C371*IMPORTRANGE(""https://docs.google.com/spreadsheets/d/1xsp01RMmkav9iTy39Zaj_7tE9677EGlOJ14KU9TZn7I/"",""2003-2017!AC2578"")"),2710.0781306841)</f>
        <v>2710.0781306841</v>
      </c>
      <c r="G377" s="69" t="s">
        <v>8</v>
      </c>
      <c r="K377" s="18"/>
      <c r="L377" s="2"/>
      <c r="M377" s="11"/>
      <c r="N377" s="11"/>
      <c r="O377" s="11"/>
      <c r="P377" s="11"/>
      <c r="Q377" s="1"/>
    </row>
    <row r="378" spans="1:17" ht="13.2" x14ac:dyDescent="0.25">
      <c r="A378" s="85" t="s">
        <v>343</v>
      </c>
      <c r="B378" s="86">
        <v>516</v>
      </c>
      <c r="C378" s="78">
        <f>50437.9/1000</f>
        <v>50.437899999999999</v>
      </c>
      <c r="D378" s="87">
        <f ca="1">IFERROR(__xludf.DUMMYFUNCTION("C372*IMPORTRANGE(""https://docs.google.com/spreadsheets/d/1xsp01RMmkav9iTy39Zaj_7tE9677EGlOJ14KU9TZn7I/"",""2003-2017!H2602"")"),38.9547033069999)</f>
        <v>38.954703306999903</v>
      </c>
      <c r="E378" s="87">
        <f ca="1">IFERROR(__xludf.DUMMYFUNCTION("C372*IMPORTRANGE(""https://docs.google.com/spreadsheets/d/1xsp01RMmkav9iTy39Zaj_7tE9677EGlOJ14KU9TZn7I/"",""2003-2017!T2602"")"),33.047416459)</f>
        <v>33.047416458999997</v>
      </c>
      <c r="F378" s="87">
        <f ca="1">IFERROR(__xludf.DUMMYFUNCTION("C372*IMPORTRANGE(""https://docs.google.com/spreadsheets/d/1xsp01RMmkav9iTy39Zaj_7tE9677EGlOJ14KU9TZn7I/"",""2003-2017!AC2602"")"),5099.5240308137)</f>
        <v>5099.5240308136999</v>
      </c>
      <c r="G378" s="64" t="s">
        <v>8</v>
      </c>
      <c r="K378" s="18"/>
      <c r="L378" s="2"/>
      <c r="M378" s="11"/>
      <c r="N378" s="11"/>
      <c r="O378" s="11"/>
      <c r="P378" s="11"/>
      <c r="Q378" s="1"/>
    </row>
    <row r="379" spans="1:17" ht="13.2" x14ac:dyDescent="0.25">
      <c r="A379" s="88" t="s">
        <v>344</v>
      </c>
      <c r="B379" s="89">
        <v>487</v>
      </c>
      <c r="C379" s="84">
        <f>31424.1/1000</f>
        <v>31.424099999999999</v>
      </c>
      <c r="D379" s="90">
        <f ca="1">IFERROR(__xludf.DUMMYFUNCTION("C373*IMPORTRANGE(""https://docs.google.com/spreadsheets/d/1xsp01RMmkav9iTy39Zaj_7tE9677EGlOJ14KU9TZn7I/"",""2003-2017!H2623"")"),23.7629044199999)</f>
        <v>23.762904419999899</v>
      </c>
      <c r="E379" s="90">
        <f ca="1">IFERROR(__xludf.DUMMYFUNCTION("C373*IMPORTRANGE(""https://docs.google.com/spreadsheets/d/1xsp01RMmkav9iTy39Zaj_7tE9677EGlOJ14KU9TZn7I/"",""2003-2017!T2623"")"),20.273886597)</f>
        <v>20.273886597000001</v>
      </c>
      <c r="F379" s="90">
        <f ca="1">IFERROR(__xludf.DUMMYFUNCTION("C373*IMPORTRANGE(""https://docs.google.com/spreadsheets/d/1xsp01RMmkav9iTy39Zaj_7tE9677EGlOJ14KU9TZn7I/"",""2003-2017!AC2623"")"),3068.57899848975)</f>
        <v>3068.5789984897501</v>
      </c>
      <c r="G379" s="69" t="s">
        <v>8</v>
      </c>
      <c r="K379" s="18"/>
      <c r="L379" s="2"/>
      <c r="M379" s="11"/>
      <c r="N379" s="11"/>
      <c r="O379" s="11"/>
      <c r="P379" s="11"/>
      <c r="Q379" s="1"/>
    </row>
    <row r="380" spans="1:17" ht="13.2" x14ac:dyDescent="0.25">
      <c r="A380" s="85" t="s">
        <v>345</v>
      </c>
      <c r="B380" s="86">
        <v>525</v>
      </c>
      <c r="C380" s="78">
        <f>24073.9/1000</f>
        <v>24.073900000000002</v>
      </c>
      <c r="D380" s="87">
        <f ca="1">IFERROR(__xludf.DUMMYFUNCTION("C374*IMPORTRANGE(""https://docs.google.com/spreadsheets/d/1xsp01RMmkav9iTy39Zaj_7tE9677EGlOJ14KU9TZn7I/"",""2003-2017!H2647"")"),18.362126486)</f>
        <v>18.362126486000001</v>
      </c>
      <c r="E380" s="87">
        <f ca="1">IFERROR(__xludf.DUMMYFUNCTION("C374*IMPORTRANGE(""https://docs.google.com/spreadsheets/d/1xsp01RMmkav9iTy39Zaj_7tE9677EGlOJ14KU9TZn7I/"",""2003-2017!T2647"")"),15.827867033)</f>
        <v>15.827867033</v>
      </c>
      <c r="F380" s="87">
        <f ca="1">IFERROR(__xludf.DUMMYFUNCTION("C374*IMPORTRANGE(""https://docs.google.com/spreadsheets/d/1xsp01RMmkav9iTy39Zaj_7tE9677EGlOJ14KU9TZn7I/"",""2003-2017!AC2647"")"),2399.1326041522)</f>
        <v>2399.1326041522002</v>
      </c>
      <c r="G380" s="64" t="s">
        <v>8</v>
      </c>
      <c r="K380" s="18"/>
      <c r="L380" s="2"/>
      <c r="M380" s="11"/>
      <c r="N380" s="11"/>
      <c r="O380" s="11"/>
      <c r="P380" s="11"/>
      <c r="Q380" s="1"/>
    </row>
    <row r="381" spans="1:17" ht="13.2" x14ac:dyDescent="0.25">
      <c r="A381" s="88" t="s">
        <v>346</v>
      </c>
      <c r="B381" s="89">
        <v>488</v>
      </c>
      <c r="C381" s="84">
        <f>24011.8/1000</f>
        <v>24.011800000000001</v>
      </c>
      <c r="D381" s="90">
        <f ca="1">IFERROR(__xludf.DUMMYFUNCTION("C375*IMPORTRANGE(""https://docs.google.com/spreadsheets/d/1xsp01RMmkav9iTy39Zaj_7tE9677EGlOJ14KU9TZn7I/"",""2003-2017!H2670"")"),18.007409292)</f>
        <v>18.007409291999998</v>
      </c>
      <c r="E381" s="90">
        <f ca="1">IFERROR(__xludf.DUMMYFUNCTION("C375*IMPORTRANGE(""https://docs.google.com/spreadsheets/d/1xsp01RMmkav9iTy39Zaj_7tE9677EGlOJ14KU9TZn7I/"",""2003-2017!T2670"")"),15.469722209)</f>
        <v>15.469722209</v>
      </c>
      <c r="F381" s="90">
        <f ca="1">IFERROR(__xludf.DUMMYFUNCTION("C375*IMPORTRANGE(""https://docs.google.com/spreadsheets/d/1xsp01RMmkav9iTy39Zaj_7tE9677EGlOJ14KU9TZn7I/"",""2003-2017!AC2670"")"),2347.6096141705)</f>
        <v>2347.6096141705002</v>
      </c>
      <c r="G381" s="69" t="s">
        <v>8</v>
      </c>
      <c r="K381" s="18"/>
      <c r="L381" s="2"/>
      <c r="M381" s="11"/>
      <c r="N381" s="11"/>
      <c r="O381" s="11"/>
      <c r="P381" s="11"/>
      <c r="Q381" s="1"/>
    </row>
    <row r="382" spans="1:17" ht="13.2" x14ac:dyDescent="0.25">
      <c r="A382" s="85" t="s">
        <v>347</v>
      </c>
      <c r="B382" s="86">
        <v>486</v>
      </c>
      <c r="C382" s="78">
        <f>29216.1/1000</f>
        <v>29.216099999999997</v>
      </c>
      <c r="D382" s="87">
        <f ca="1">IFERROR(__xludf.DUMMYFUNCTION("C376*IMPORTRANGE(""https://docs.google.com/spreadsheets/d/1xsp01RMmkav9iTy39Zaj_7tE9677EGlOJ14KU9TZn7I/"",""2003-2017!H2692"")"),21.9044788139999)</f>
        <v>21.904478813999901</v>
      </c>
      <c r="E382" s="87">
        <f ca="1">IFERROR(__xludf.DUMMYFUNCTION("C376*IMPORTRANGE(""https://docs.google.com/spreadsheets/d/1xsp01RMmkav9iTy39Zaj_7tE9677EGlOJ14KU9TZn7I/"",""2003-2017!T1871"")"),18.7992456255)</f>
        <v>18.799245625499999</v>
      </c>
      <c r="F382" s="87">
        <f ca="1">IFERROR(__xludf.DUMMYFUNCTION("C376*IMPORTRANGE(""https://docs.google.com/spreadsheets/d/1xsp01RMmkav9iTy39Zaj_7tE9677EGlOJ14KU9TZn7I/"",""2003-2017!AC1871"")"),2462.65429970804)</f>
        <v>2462.6542997080401</v>
      </c>
      <c r="G382" s="64" t="s">
        <v>8</v>
      </c>
      <c r="K382" s="18"/>
      <c r="L382" s="2"/>
      <c r="M382" s="11"/>
      <c r="N382" s="11"/>
      <c r="O382" s="11"/>
      <c r="P382" s="11"/>
      <c r="Q382" s="1"/>
    </row>
    <row r="383" spans="1:17" ht="13.2" x14ac:dyDescent="0.25">
      <c r="A383" s="88" t="s">
        <v>348</v>
      </c>
      <c r="B383" s="89">
        <v>495</v>
      </c>
      <c r="C383" s="84">
        <f>25818.9/1000</f>
        <v>25.818900000000003</v>
      </c>
      <c r="D383" s="90">
        <f ca="1">IFERROR(__xludf.DUMMYFUNCTION("C377*IMPORTRANGE(""https://docs.google.com/spreadsheets/d/1xsp01RMmkav9iTy39Zaj_7tE9677EGlOJ14KU9TZn7I/"",""2003-2017!H2716"")"),18.9690167355)</f>
        <v>18.969016735499999</v>
      </c>
      <c r="E383" s="90">
        <f ca="1">IFERROR(__xludf.DUMMYFUNCTION("C377*IMPORTRANGE(""https://docs.google.com/spreadsheets/d/1xsp01RMmkav9iTy39Zaj_7tE9677EGlOJ14KU9TZn7I/"",""2003-2017!T2716"")"),15.9982941015)</f>
        <v>15.998294101500001</v>
      </c>
      <c r="F383" s="90">
        <f ca="1">IFERROR(__xludf.DUMMYFUNCTION("C377*IMPORTRANGE(""https://docs.google.com/spreadsheets/d/1xsp01RMmkav9iTy39Zaj_7tE9677EGlOJ14KU9TZn7I/"",""2003-2017!AC2716"")"),2529.18071565)</f>
        <v>2529.1807156499999</v>
      </c>
      <c r="G383" s="69" t="s">
        <v>8</v>
      </c>
      <c r="K383" s="18"/>
      <c r="L383" s="2"/>
      <c r="M383" s="11"/>
      <c r="N383" s="11"/>
      <c r="O383" s="11"/>
      <c r="P383" s="11"/>
      <c r="Q383" s="1"/>
    </row>
    <row r="384" spans="1:17" ht="13.2" x14ac:dyDescent="0.25">
      <c r="A384" s="85" t="s">
        <v>349</v>
      </c>
      <c r="B384" s="86">
        <v>485</v>
      </c>
      <c r="C384" s="78">
        <f>19737.4/1000</f>
        <v>19.737400000000001</v>
      </c>
      <c r="D384" s="87">
        <f ca="1">IFERROR(__xludf.DUMMYFUNCTION("C378*IMPORTRANGE(""https://docs.google.com/spreadsheets/d/1xsp01RMmkav9iTy39Zaj_7tE9677EGlOJ14KU9TZn7I/"",""2003-2017!H2738"")"),14.626795018)</f>
        <v>14.626795017999999</v>
      </c>
      <c r="E384" s="87">
        <f ca="1">IFERROR(__xludf.DUMMYFUNCTION("C378*IMPORTRANGE(""https://docs.google.com/spreadsheets/d/1xsp01RMmkav9iTy39Zaj_7tE9677EGlOJ14KU9TZn7I/"",""2003-2017!T2738"")"),12.26778097)</f>
        <v>12.26778097</v>
      </c>
      <c r="F384" s="87">
        <f ca="1">IFERROR(__xludf.DUMMYFUNCTION("C378*IMPORTRANGE(""https://docs.google.com/spreadsheets/d/1xsp01RMmkav9iTy39Zaj_7tE9677EGlOJ14KU9TZn7I/"",""2003-2017!AC2738"")"),1971.0359564626)</f>
        <v>1971.0359564626001</v>
      </c>
      <c r="G384" s="64" t="s">
        <v>8</v>
      </c>
      <c r="K384" s="18"/>
      <c r="L384" s="2"/>
      <c r="M384" s="11"/>
      <c r="N384" s="11"/>
      <c r="O384" s="11"/>
      <c r="P384" s="11"/>
      <c r="Q384" s="1"/>
    </row>
    <row r="385" spans="1:17" ht="13.2" x14ac:dyDescent="0.25">
      <c r="A385" s="88" t="s">
        <v>350</v>
      </c>
      <c r="B385" s="89">
        <v>456</v>
      </c>
      <c r="C385" s="84">
        <f>48820.6/1000</f>
        <v>48.820599999999999</v>
      </c>
      <c r="D385" s="90">
        <f ca="1">IFERROR(__xludf.DUMMYFUNCTION("C379*IMPORTRANGE(""https://docs.google.com/spreadsheets/d/1xsp01RMmkav9iTy39Zaj_7tE9677EGlOJ14KU9TZn7I/"",""2003-2017!H2761"")"),35.640502618)</f>
        <v>35.640502617999999</v>
      </c>
      <c r="E385" s="90">
        <f ca="1">IFERROR(__xludf.DUMMYFUNCTION("C379*IMPORTRANGE(""https://docs.google.com/spreadsheets/d/1xsp01RMmkav9iTy39Zaj_7tE9677EGlOJ14KU9TZn7I/"",""2003-2017!T2761"")"),29.827189673)</f>
        <v>29.827189672999999</v>
      </c>
      <c r="F385" s="90">
        <f ca="1">IFERROR(__xludf.DUMMYFUNCTION("C379*IMPORTRANGE(""https://docs.google.com/spreadsheets/d/1xsp01RMmkav9iTy39Zaj_7tE9677EGlOJ14KU9TZn7I/"",""2003-2017!AC2761"")"),5041.6056231588)</f>
        <v>5041.6056231588</v>
      </c>
      <c r="G385" s="69" t="s">
        <v>8</v>
      </c>
      <c r="K385" s="18"/>
      <c r="L385" s="2"/>
      <c r="M385" s="11"/>
      <c r="N385" s="11"/>
      <c r="O385" s="11"/>
      <c r="P385" s="11"/>
      <c r="Q385" s="1"/>
    </row>
    <row r="386" spans="1:17" ht="13.2" x14ac:dyDescent="0.25">
      <c r="A386" s="56">
        <v>2014</v>
      </c>
      <c r="B386" s="57"/>
      <c r="C386" s="60"/>
      <c r="D386" s="60"/>
      <c r="E386" s="60"/>
      <c r="F386" s="60"/>
      <c r="G386" s="59"/>
      <c r="K386" s="18"/>
      <c r="L386" s="2"/>
      <c r="M386" s="11"/>
      <c r="N386" s="11"/>
      <c r="O386" s="11"/>
      <c r="P386" s="11"/>
      <c r="Q386" s="1"/>
    </row>
    <row r="387" spans="1:17" ht="13.2" x14ac:dyDescent="0.25">
      <c r="A387" s="85" t="s">
        <v>351</v>
      </c>
      <c r="B387" s="86">
        <v>550</v>
      </c>
      <c r="C387" s="78">
        <f>35660.4/1000</f>
        <v>35.660400000000003</v>
      </c>
      <c r="D387" s="87">
        <f ca="1">IFERROR(__xludf.DUMMYFUNCTION("C381*IMPORTRANGE(""https://docs.google.com/spreadsheets/d/1xsp01RMmkav9iTy39Zaj_7tE9677EGlOJ14KU9TZn7I/"",""2003-2017!H2786"")"),26.159399628)</f>
        <v>26.159399627999999</v>
      </c>
      <c r="E387" s="87">
        <f ca="1">IFERROR(__xludf.DUMMYFUNCTION("C381*IMPORTRANGE(""https://docs.google.com/spreadsheets/d/1xsp01RMmkav9iTy39Zaj_7tE9677EGlOJ14KU9TZn7I/"",""2003-2017!T2786"")"),21.644792988)</f>
        <v>21.644792987999999</v>
      </c>
      <c r="F387" s="87">
        <f ca="1">IFERROR(__xludf.DUMMYFUNCTION("C381*IMPORTRANGE(""https://docs.google.com/spreadsheets/d/1xsp01RMmkav9iTy39Zaj_7tE9677EGlOJ14KU9TZn7I/"",""2003-2017!AC2786"")"),3716.7051186792)</f>
        <v>3716.7051186792</v>
      </c>
      <c r="G387" s="64" t="s">
        <v>8</v>
      </c>
      <c r="K387" s="18"/>
      <c r="L387" s="2"/>
      <c r="M387" s="11"/>
      <c r="N387" s="11"/>
      <c r="O387" s="11"/>
      <c r="P387" s="11"/>
      <c r="Q387" s="1"/>
    </row>
    <row r="388" spans="1:17" ht="13.2" x14ac:dyDescent="0.25">
      <c r="A388" s="88" t="s">
        <v>352</v>
      </c>
      <c r="B388" s="89">
        <v>435</v>
      </c>
      <c r="C388" s="84">
        <f>20034.9/1000</f>
        <v>20.0349</v>
      </c>
      <c r="D388" s="90">
        <f ca="1">IFERROR(__xludf.DUMMYFUNCTION("C382*IMPORTRANGE(""https://docs.google.com/spreadsheets/d/1xsp01RMmkav9iTy39Zaj_7tE9677EGlOJ14KU9TZn7I/"",""2003-2017!H2807"")"),14.6450110275)</f>
        <v>14.645011027500001</v>
      </c>
      <c r="E388" s="90">
        <f ca="1">IFERROR(__xludf.DUMMYFUNCTION("C382*IMPORTRANGE(""https://docs.google.com/spreadsheets/d/1xsp01RMmkav9iTy39Zaj_7tE9677EGlOJ14KU9TZn7I/"",""2003-2017!T2807"")"),12.0364670475)</f>
        <v>12.0364670475</v>
      </c>
      <c r="F388" s="90">
        <f ca="1">IFERROR(__xludf.DUMMYFUNCTION("C382*IMPORTRANGE(""https://docs.google.com/spreadsheets/d/1xsp01RMmkav9iTy39Zaj_7tE9677EGlOJ14KU9TZn7I/"",""2003-2017!AC2807"")"),2047.36648108725)</f>
        <v>2047.3664810872499</v>
      </c>
      <c r="G388" s="69" t="s">
        <v>8</v>
      </c>
      <c r="K388" s="18"/>
      <c r="L388" s="2"/>
      <c r="M388" s="11"/>
      <c r="N388" s="11"/>
      <c r="O388" s="11"/>
      <c r="P388" s="11"/>
      <c r="Q388" s="1"/>
    </row>
    <row r="389" spans="1:17" ht="13.2" x14ac:dyDescent="0.25">
      <c r="A389" s="85" t="s">
        <v>353</v>
      </c>
      <c r="B389" s="86">
        <v>515</v>
      </c>
      <c r="C389" s="78">
        <f>61889.5/1000</f>
        <v>61.889499999999998</v>
      </c>
      <c r="D389" s="87">
        <f ca="1">IFERROR(__xludf.DUMMYFUNCTION("C383*IMPORTRANGE(""https://docs.google.com/spreadsheets/d/1xsp01RMmkav9iTy39Zaj_7tE9677EGlOJ14KU9TZn7I/"",""2003-2017!H2829"")"),44.785098885)</f>
        <v>44.785098884999996</v>
      </c>
      <c r="E389" s="87">
        <f ca="1">IFERROR(__xludf.DUMMYFUNCTION("C383*IMPORTRANGE(""https://docs.google.com/spreadsheets/d/1xsp01RMmkav9iTy39Zaj_7tE9677EGlOJ14KU9TZn7I/"",""2003-2017!T2829"")"),37.22653425)</f>
        <v>37.22653425</v>
      </c>
      <c r="F389" s="87">
        <f ca="1">IFERROR(__xludf.DUMMYFUNCTION("C383*IMPORTRANGE(""https://docs.google.com/spreadsheets/d/1xsp01RMmkav9iTy39Zaj_7tE9677EGlOJ14KU9TZn7I/"",""2003-2017!AC2829"")"),6327.64418383149)</f>
        <v>6327.6441838314904</v>
      </c>
      <c r="G389" s="64" t="s">
        <v>8</v>
      </c>
      <c r="K389" s="18"/>
      <c r="L389" s="2"/>
      <c r="M389" s="11"/>
      <c r="N389" s="11"/>
      <c r="O389" s="11"/>
      <c r="P389" s="11"/>
      <c r="Q389" s="1"/>
    </row>
    <row r="390" spans="1:17" ht="13.2" x14ac:dyDescent="0.25">
      <c r="A390" s="88" t="s">
        <v>354</v>
      </c>
      <c r="B390" s="89">
        <v>493</v>
      </c>
      <c r="C390" s="84">
        <f>49237.6/1000</f>
        <v>49.2376</v>
      </c>
      <c r="D390" s="90">
        <f ca="1">IFERROR(__xludf.DUMMYFUNCTION("C384*IMPORTRANGE(""https://docs.google.com/spreadsheets/d/1xsp01RMmkav9iTy39Zaj_7tE9677EGlOJ14KU9TZn7I/"",""2003-2017!H2852"")"),35.646052896)</f>
        <v>35.646052896</v>
      </c>
      <c r="E390" s="90">
        <f ca="1">IFERROR(__xludf.DUMMYFUNCTION("C384*IMPORTRANGE(""https://docs.google.com/spreadsheets/d/1xsp01RMmkav9iTy39Zaj_7tE9677EGlOJ14KU9TZn7I/"",""2003-2017!T2852"")"),29.340932028)</f>
        <v>29.340932028000001</v>
      </c>
      <c r="F390" s="90">
        <f ca="1">IFERROR(__xludf.DUMMYFUNCTION("C384*IMPORTRANGE(""https://docs.google.com/spreadsheets/d/1xsp01RMmkav9iTy39Zaj_7tE9677EGlOJ14KU9TZn7I/"",""2003-2017!AC2852"")"),5046.75557403759)</f>
        <v>5046.7555740375901</v>
      </c>
      <c r="G390" s="69" t="s">
        <v>8</v>
      </c>
      <c r="K390" s="18"/>
      <c r="L390" s="2"/>
      <c r="M390" s="11"/>
      <c r="N390" s="11"/>
      <c r="O390" s="11"/>
      <c r="P390" s="11"/>
      <c r="Q390" s="1"/>
    </row>
    <row r="391" spans="1:17" ht="13.2" x14ac:dyDescent="0.25">
      <c r="A391" s="85" t="s">
        <v>355</v>
      </c>
      <c r="B391" s="86">
        <v>545</v>
      </c>
      <c r="C391" s="78">
        <f>27847.7/1000</f>
        <v>27.8477</v>
      </c>
      <c r="D391" s="87">
        <f ca="1">IFERROR(__xludf.DUMMYFUNCTION("C385*IMPORTRANGE(""https://docs.google.com/spreadsheets/d/1xsp01RMmkav9iTy39Zaj_7tE9677EGlOJ14KU9TZn7I/"",""2003-2017!H2875"")"),20.304315024)</f>
        <v>20.304315024000001</v>
      </c>
      <c r="E391" s="87">
        <f ca="1">IFERROR(__xludf.DUMMYFUNCTION("C385*IMPORTRANGE(""https://docs.google.com/spreadsheets/d/1xsp01RMmkav9iTy39Zaj_7tE9677EGlOJ14KU9TZn7I/"",""2003-2017!T2875"")"),16.52482518)</f>
        <v>16.524825180000001</v>
      </c>
      <c r="F391" s="87">
        <f ca="1">IFERROR(__xludf.DUMMYFUNCTION("C385*IMPORTRANGE(""https://docs.google.com/spreadsheets/d/1xsp01RMmkav9iTy39Zaj_7tE9677EGlOJ14KU9TZn7I/"",""2003-2017!AC2875"")"),2836.1072906454)</f>
        <v>2836.1072906454001</v>
      </c>
      <c r="G391" s="64" t="s">
        <v>8</v>
      </c>
      <c r="K391" s="18"/>
      <c r="L391" s="2"/>
      <c r="M391" s="11"/>
      <c r="N391" s="11"/>
      <c r="O391" s="11"/>
      <c r="P391" s="11"/>
      <c r="Q391" s="1"/>
    </row>
    <row r="392" spans="1:17" ht="13.2" x14ac:dyDescent="0.25">
      <c r="A392" s="88" t="s">
        <v>356</v>
      </c>
      <c r="B392" s="89">
        <v>500</v>
      </c>
      <c r="C392" s="84">
        <f>50544.6/1000</f>
        <v>50.544599999999996</v>
      </c>
      <c r="D392" s="90">
        <f ca="1">IFERROR(__xludf.DUMMYFUNCTION("C386*IMPORTRANGE(""https://docs.google.com/spreadsheets/d/1xsp01RMmkav9iTy39Zaj_7tE9677EGlOJ14KU9TZn7I/"",""2003-2017!H2897"")"),37.1598844739999)</f>
        <v>37.159884473999902</v>
      </c>
      <c r="E392" s="90">
        <f ca="1">IFERROR(__xludf.DUMMYFUNCTION("C386*IMPORTRANGE(""https://docs.google.com/spreadsheets/d/1xsp01RMmkav9iTy39Zaj_7tE9677EGlOJ14KU9TZn7I/"",""2003-2017!T2897"")"),29.802612498)</f>
        <v>29.802612497999998</v>
      </c>
      <c r="F392" s="90">
        <f ca="1">IFERROR(__xludf.DUMMYFUNCTION("C386*IMPORTRANGE(""https://docs.google.com/spreadsheets/d/1xsp01RMmkav9iTy39Zaj_7tE9677EGlOJ14KU9TZn7I/"",""2003-2017!AC2897"")"),5153.8813798338)</f>
        <v>5153.8813798337997</v>
      </c>
      <c r="G392" s="69" t="s">
        <v>8</v>
      </c>
      <c r="K392" s="18"/>
      <c r="L392" s="2"/>
      <c r="M392" s="11"/>
      <c r="N392" s="11"/>
      <c r="O392" s="11"/>
      <c r="P392" s="11"/>
      <c r="Q392" s="1"/>
    </row>
    <row r="393" spans="1:17" ht="13.2" x14ac:dyDescent="0.25">
      <c r="A393" s="85" t="s">
        <v>357</v>
      </c>
      <c r="B393" s="86">
        <v>532</v>
      </c>
      <c r="C393" s="78">
        <f>35479.8/1000</f>
        <v>35.479800000000004</v>
      </c>
      <c r="D393" s="87">
        <f ca="1">IFERROR(__xludf.DUMMYFUNCTION("C387*IMPORTRANGE(""https://docs.google.com/spreadsheets/d/1xsp01RMmkav9iTy39Zaj_7tE9677EGlOJ14KU9TZn7I/"",""2003-2017!H2921"")"),26.141871438)</f>
        <v>26.141871437999999</v>
      </c>
      <c r="E393" s="87">
        <f ca="1">IFERROR(__xludf.DUMMYFUNCTION("C387*IMPORTRANGE(""https://docs.google.com/spreadsheets/d/1xsp01RMmkav9iTy39Zaj_7tE9677EGlOJ14KU9TZn7I/"",""2003-2017!T2921"")"),20.736523908)</f>
        <v>20.736523907999999</v>
      </c>
      <c r="F393" s="87">
        <f ca="1">IFERROR(__xludf.DUMMYFUNCTION("C387*IMPORTRANGE(""https://docs.google.com/spreadsheets/d/1xsp01RMmkav9iTy39Zaj_7tE9677EGlOJ14KU9TZn7I/"",""2003-2017!AC2921"")"),3602.6189274798)</f>
        <v>3602.6189274797998</v>
      </c>
      <c r="G393" s="64" t="s">
        <v>8</v>
      </c>
      <c r="K393" s="18"/>
      <c r="L393" s="2"/>
      <c r="M393" s="11"/>
      <c r="N393" s="11"/>
      <c r="O393" s="11"/>
      <c r="P393" s="11"/>
      <c r="Q393" s="1"/>
    </row>
    <row r="394" spans="1:17" ht="13.2" x14ac:dyDescent="0.25">
      <c r="A394" s="88" t="s">
        <v>358</v>
      </c>
      <c r="B394" s="89">
        <v>501</v>
      </c>
      <c r="C394" s="84">
        <f>19292.5/1000</f>
        <v>19.2925</v>
      </c>
      <c r="D394" s="90">
        <f ca="1">IFERROR(__xludf.DUMMYFUNCTION("C388*IMPORTRANGE(""https://docs.google.com/spreadsheets/d/1xsp01RMmkav9iTy39Zaj_7tE9677EGlOJ14KU9TZn7I/"",""2003-2017!H2943"")"),14.4361918999999)</f>
        <v>14.436191899999899</v>
      </c>
      <c r="E394" s="90">
        <f ca="1">IFERROR(__xludf.DUMMYFUNCTION("C388*IMPORTRANGE(""https://docs.google.com/spreadsheets/d/1xsp01RMmkav9iTy39Zaj_7tE9677EGlOJ14KU9TZn7I/"",""2003-2017!T2943"")"),11.5384584)</f>
        <v>11.5384584</v>
      </c>
      <c r="F394" s="90">
        <f ca="1">IFERROR(__xludf.DUMMYFUNCTION("C388*IMPORTRANGE(""https://docs.google.com/spreadsheets/d/1xsp01RMmkav9iTy39Zaj_7tE9677EGlOJ14KU9TZn7I/"",""2003-2017!AC2943"")"),1979.1982246225)</f>
        <v>1979.1982246225</v>
      </c>
      <c r="G394" s="69" t="s">
        <v>8</v>
      </c>
      <c r="K394" s="18"/>
      <c r="L394" s="2"/>
      <c r="M394" s="11"/>
      <c r="N394" s="11"/>
      <c r="O394" s="11"/>
      <c r="P394" s="11"/>
      <c r="Q394" s="1"/>
    </row>
    <row r="395" spans="1:17" ht="13.2" x14ac:dyDescent="0.25">
      <c r="A395" s="85" t="s">
        <v>359</v>
      </c>
      <c r="B395" s="86">
        <v>576</v>
      </c>
      <c r="C395" s="78">
        <f>46857.5/1000</f>
        <v>46.857500000000002</v>
      </c>
      <c r="D395" s="87">
        <f ca="1">IFERROR(__xludf.DUMMYFUNCTION("C389*IMPORTRANGE(""https://docs.google.com/spreadsheets/d/1xsp01RMmkav9iTy39Zaj_7tE9677EGlOJ14KU9TZn7I/"",""2003-2017!H2966"")"),36.2623163875)</f>
        <v>36.2623163875</v>
      </c>
      <c r="E395" s="87">
        <f ca="1">IFERROR(__xludf.DUMMYFUNCTION("C389*IMPORTRANGE(""https://docs.google.com/spreadsheets/d/1xsp01RMmkav9iTy39Zaj_7tE9677EGlOJ14KU9TZn7I/"",""2003-2017!T2966"")"),28.780345075)</f>
        <v>28.780345075</v>
      </c>
      <c r="F395" s="87">
        <f ca="1">IFERROR(__xludf.DUMMYFUNCTION("C389*IMPORTRANGE(""https://docs.google.com/spreadsheets/d/1xsp01RMmkav9iTy39Zaj_7tE9677EGlOJ14KU9TZn7I/"",""2003-2017!AC2966"")"),5020.5000268575)</f>
        <v>5020.5000268575004</v>
      </c>
      <c r="G395" s="64" t="s">
        <v>8</v>
      </c>
      <c r="K395" s="18"/>
      <c r="L395" s="2"/>
      <c r="M395" s="11"/>
      <c r="N395" s="11"/>
      <c r="O395" s="11"/>
      <c r="P395" s="11"/>
      <c r="Q395" s="1"/>
    </row>
    <row r="396" spans="1:17" ht="13.2" x14ac:dyDescent="0.25">
      <c r="A396" s="88" t="s">
        <v>360</v>
      </c>
      <c r="B396" s="89">
        <v>524</v>
      </c>
      <c r="C396" s="84">
        <f>26148.2/1000</f>
        <v>26.148199999999999</v>
      </c>
      <c r="D396" s="90">
        <f ca="1">IFERROR(__xludf.DUMMYFUNCTION("C390*IMPORTRANGE(""https://docs.google.com/spreadsheets/d/1xsp01RMmkav9iTy39Zaj_7tE9677EGlOJ14KU9TZn7I/"",""2003-2017!H2990"")"),20.6369438859999)</f>
        <v>20.636943885999901</v>
      </c>
      <c r="E396" s="90">
        <f ca="1">IFERROR(__xludf.DUMMYFUNCTION("C390*IMPORTRANGE(""https://docs.google.com/spreadsheets/d/1xsp01RMmkav9iTy39Zaj_7tE9677EGlOJ14KU9TZn7I/"",""2003-2017!T2990"")"),16.248229998)</f>
        <v>16.248229997999999</v>
      </c>
      <c r="F396" s="90">
        <f ca="1">IFERROR(__xludf.DUMMYFUNCTION("C390*IMPORTRANGE(""https://docs.google.com/spreadsheets/d/1xsp01RMmkav9iTy39Zaj_7tE9677EGlOJ14KU9TZn7I/"",""2003-2017!AC2990"")"),2825.8882442518)</f>
        <v>2825.8882442518002</v>
      </c>
      <c r="G396" s="69" t="s">
        <v>8</v>
      </c>
      <c r="K396" s="18"/>
      <c r="L396" s="2"/>
      <c r="M396" s="11"/>
      <c r="N396" s="11"/>
      <c r="O396" s="11"/>
      <c r="P396" s="11"/>
      <c r="Q396" s="1"/>
    </row>
    <row r="397" spans="1:17" ht="13.2" x14ac:dyDescent="0.25">
      <c r="A397" s="85" t="s">
        <v>361</v>
      </c>
      <c r="B397" s="86">
        <v>562</v>
      </c>
      <c r="C397" s="78">
        <f>60121.6/1000</f>
        <v>60.121600000000001</v>
      </c>
      <c r="D397" s="87">
        <f ca="1">IFERROR(__xludf.DUMMYFUNCTION("C391*IMPORTRANGE(""https://docs.google.com/spreadsheets/d/1xsp01RMmkav9iTy39Zaj_7tE9677EGlOJ14KU9TZn7I/"",""2003-2017!H3011"")"),48.1820514559999)</f>
        <v>48.182051455999897</v>
      </c>
      <c r="E397" s="87">
        <f ca="1">IFERROR(__xludf.DUMMYFUNCTION("C391*IMPORTRANGE(""https://docs.google.com/spreadsheets/d/1xsp01RMmkav9iTy39Zaj_7tE9677EGlOJ14KU9TZn7I/"",""2003-2017!T3011"")"),38.1802220799999)</f>
        <v>38.180222079999901</v>
      </c>
      <c r="F397" s="87">
        <f ca="1">IFERROR(__xludf.DUMMYFUNCTION("C391*IMPORTRANGE(""https://docs.google.com/spreadsheets/d/1xsp01RMmkav9iTy39Zaj_7tE9677EGlOJ14KU9TZn7I/"",""2003-2017!AC3011"")"),6988.2342060608)</f>
        <v>6988.2342060607998</v>
      </c>
      <c r="G397" s="64" t="s">
        <v>8</v>
      </c>
      <c r="K397" s="18"/>
      <c r="L397" s="2"/>
      <c r="M397" s="11"/>
      <c r="N397" s="11"/>
      <c r="O397" s="11"/>
      <c r="P397" s="11"/>
      <c r="Q397" s="1"/>
    </row>
    <row r="398" spans="1:17" ht="13.2" x14ac:dyDescent="0.25">
      <c r="A398" s="88" t="s">
        <v>362</v>
      </c>
      <c r="B398" s="89">
        <v>689</v>
      </c>
      <c r="C398" s="84">
        <f>61626.8/1000</f>
        <v>61.626800000000003</v>
      </c>
      <c r="D398" s="90">
        <f ca="1">IFERROR(__xludf.DUMMYFUNCTION("C392*IMPORTRANGE(""https://docs.google.com/spreadsheets/d/1xsp01RMmkav9iTy39Zaj_7tE9677EGlOJ14KU9TZn7I/"",""2003-2017!H3035"")"),50.035415188)</f>
        <v>50.035415188000002</v>
      </c>
      <c r="E398" s="90">
        <f ca="1">IFERROR(__xludf.DUMMYFUNCTION("C392*IMPORTRANGE(""https://docs.google.com/spreadsheets/d/1xsp01RMmkav9iTy39Zaj_7tE9677EGlOJ14KU9TZn7I/"",""2003-2017!T3035"")"),39.390001756)</f>
        <v>39.390001755999997</v>
      </c>
      <c r="F398" s="90">
        <f ca="1">IFERROR(__xludf.DUMMYFUNCTION("C392*IMPORTRANGE(""https://docs.google.com/spreadsheets/d/1xsp01RMmkav9iTy39Zaj_7tE9677EGlOJ14KU9TZn7I/"",""2003-2017!AC3035"")"),7361.8142744)</f>
        <v>7361.8142743999997</v>
      </c>
      <c r="G398" s="69" t="s">
        <v>8</v>
      </c>
      <c r="K398" s="18"/>
      <c r="L398" s="2"/>
      <c r="M398" s="11"/>
      <c r="N398" s="11"/>
      <c r="O398" s="11"/>
      <c r="P398" s="11"/>
      <c r="Q398" s="1"/>
    </row>
    <row r="399" spans="1:17" ht="13.2" x14ac:dyDescent="0.25">
      <c r="A399" s="56">
        <v>2015</v>
      </c>
      <c r="B399" s="57"/>
      <c r="C399" s="60"/>
      <c r="D399" s="60"/>
      <c r="E399" s="60"/>
      <c r="F399" s="60"/>
      <c r="G399" s="59"/>
      <c r="K399" s="18"/>
      <c r="L399" s="2"/>
      <c r="M399" s="11"/>
      <c r="N399" s="11"/>
      <c r="O399" s="11"/>
      <c r="P399" s="11"/>
      <c r="Q399" s="1"/>
    </row>
    <row r="400" spans="1:17" ht="13.2" x14ac:dyDescent="0.25">
      <c r="A400" s="85" t="s">
        <v>363</v>
      </c>
      <c r="B400" s="86">
        <v>505</v>
      </c>
      <c r="C400" s="78">
        <f>32668.1/1000</f>
        <v>32.668099999999995</v>
      </c>
      <c r="D400" s="87">
        <f ca="1">IFERROR(__xludf.DUMMYFUNCTION("C394*IMPORTRANGE(""https://docs.google.com/spreadsheets/d/1xsp01RMmkav9iTy39Zaj_7tE9677EGlOJ14KU9TZn7I/"",""2003-2017!H3059"")"),27.9037842959999)</f>
        <v>27.903784295999898</v>
      </c>
      <c r="E400" s="87">
        <f ca="1">IFERROR(__xludf.DUMMYFUNCTION("C394*IMPORTRANGE(""https://docs.google.com/spreadsheets/d/1xsp01RMmkav9iTy39Zaj_7tE9677EGlOJ14KU9TZn7I/"",""2003-2017!T3059"")"),21.5686230034999)</f>
        <v>21.568623003499901</v>
      </c>
      <c r="F400" s="87">
        <f ca="1">IFERROR(__xludf.DUMMYFUNCTION("C394*IMPORTRANGE(""https://docs.google.com/spreadsheets/d/1xsp01RMmkav9iTy39Zaj_7tE9677EGlOJ14KU9TZn7I/"",""2003-2017!AC3059"")"),3864.24427813619)</f>
        <v>3864.2442781361901</v>
      </c>
      <c r="G400" s="64" t="s">
        <v>8</v>
      </c>
      <c r="K400" s="18"/>
      <c r="L400" s="2"/>
      <c r="M400" s="11"/>
      <c r="N400" s="11"/>
      <c r="O400" s="11"/>
      <c r="P400" s="11"/>
      <c r="Q400" s="1"/>
    </row>
    <row r="401" spans="1:17" ht="13.2" x14ac:dyDescent="0.25">
      <c r="A401" s="88" t="s">
        <v>364</v>
      </c>
      <c r="B401" s="89">
        <v>487</v>
      </c>
      <c r="C401" s="84">
        <f>36542.8/1000</f>
        <v>36.5428</v>
      </c>
      <c r="D401" s="90">
        <f ca="1">IFERROR(__xludf.DUMMYFUNCTION("C395*IMPORTRANGE(""https://docs.google.com/spreadsheets/d/1xsp01RMmkav9iTy39Zaj_7tE9677EGlOJ14KU9TZn7I/"",""2003-2017!H3080"")"),32.2236237539999)</f>
        <v>32.223623753999902</v>
      </c>
      <c r="E401" s="90">
        <f ca="1">IFERROR(__xludf.DUMMYFUNCTION("C395*IMPORTRANGE(""https://docs.google.com/spreadsheets/d/1xsp01RMmkav9iTy39Zaj_7tE9677EGlOJ14KU9TZn7I/"",""2003-2017!T3080"")"),23.798863928)</f>
        <v>23.798863927999999</v>
      </c>
      <c r="F401" s="90">
        <f ca="1">IFERROR(__xludf.DUMMYFUNCTION("C395*IMPORTRANGE(""https://docs.google.com/spreadsheets/d/1xsp01RMmkav9iTy39Zaj_7tE9677EGlOJ14KU9TZn7I/"",""2003-2017!AC3080"")"),4343.3675247858)</f>
        <v>4343.3675247858</v>
      </c>
      <c r="G401" s="69" t="s">
        <v>8</v>
      </c>
      <c r="K401" s="18"/>
      <c r="L401" s="2"/>
      <c r="M401" s="11"/>
      <c r="N401" s="11"/>
      <c r="O401" s="11"/>
      <c r="P401" s="11"/>
      <c r="Q401" s="1"/>
    </row>
    <row r="402" spans="1:17" ht="13.2" x14ac:dyDescent="0.25">
      <c r="A402" s="85" t="s">
        <v>365</v>
      </c>
      <c r="B402" s="72">
        <v>559</v>
      </c>
      <c r="C402" s="78">
        <f>42555.4/1000</f>
        <v>42.555399999999999</v>
      </c>
      <c r="D402" s="87">
        <f ca="1">IFERROR(__xludf.DUMMYFUNCTION("C396*IMPORTRANGE(""https://docs.google.com/spreadsheets/d/1xsp01RMmkav9iTy39Zaj_7tE9677EGlOJ14KU9TZn7I/"",""2003-2017!H3103"")"),39.228844382)</f>
        <v>39.228844381999998</v>
      </c>
      <c r="E402" s="87">
        <f ca="1">IFERROR(__xludf.DUMMYFUNCTION("C396*IMPORTRANGE(""https://docs.google.com/spreadsheets/d/1xsp01RMmkav9iTy39Zaj_7tE9677EGlOJ14KU9TZn7I/"",""2003-2017!T3103"")"),28.4878614219999)</f>
        <v>28.487861421999899</v>
      </c>
      <c r="F402" s="87">
        <f ca="1">IFERROR(__xludf.DUMMYFUNCTION("C396*IMPORTRANGE(""https://docs.google.com/spreadsheets/d/1xsp01RMmkav9iTy39Zaj_7tE9677EGlOJ14KU9TZn7I/"",""2003-2017!AC3103"")"),5108.9672905777)</f>
        <v>5108.9672905776997</v>
      </c>
      <c r="G402" s="64" t="s">
        <v>8</v>
      </c>
      <c r="K402" s="18"/>
      <c r="L402" s="2"/>
      <c r="M402" s="11"/>
      <c r="N402" s="11"/>
      <c r="O402" s="11"/>
      <c r="P402" s="11"/>
      <c r="Q402" s="1"/>
    </row>
    <row r="403" spans="1:17" ht="13.2" x14ac:dyDescent="0.25">
      <c r="A403" s="88" t="s">
        <v>366</v>
      </c>
      <c r="B403" s="89">
        <v>513</v>
      </c>
      <c r="C403" s="84">
        <f>78224.6/1000</f>
        <v>78.224600000000009</v>
      </c>
      <c r="D403" s="90">
        <f ca="1">IFERROR(__xludf.DUMMYFUNCTION("C397*IMPORTRANGE(""https://docs.google.com/spreadsheets/d/1xsp01RMmkav9iTy39Zaj_7tE9677EGlOJ14KU9TZn7I/"",""2003-2017!H3126"")"),72.58069511)</f>
        <v>72.580695109999994</v>
      </c>
      <c r="E403" s="90">
        <f ca="1">IFERROR(__xludf.DUMMYFUNCTION("C397*IMPORTRANGE(""https://docs.google.com/spreadsheets/d/1xsp01RMmkav9iTy39Zaj_7tE9677EGlOJ14KU9TZn7I/"",""2003-2017!T3126"")"),52.498875798)</f>
        <v>52.498875798</v>
      </c>
      <c r="F403" s="90">
        <f ca="1">IFERROR(__xludf.DUMMYFUNCTION("C397*IMPORTRANGE(""https://docs.google.com/spreadsheets/d/1xsp01RMmkav9iTy39Zaj_7tE9677EGlOJ14KU9TZn7I/"",""2003-2017!AC3126"")"),9349.7169339508)</f>
        <v>9349.7169339508</v>
      </c>
      <c r="G403" s="69" t="s">
        <v>8</v>
      </c>
      <c r="K403" s="18"/>
      <c r="L403" s="2"/>
      <c r="M403" s="11"/>
      <c r="N403" s="11"/>
      <c r="O403" s="11"/>
      <c r="P403" s="11"/>
      <c r="Q403" s="1"/>
    </row>
    <row r="404" spans="1:17" ht="13.2" x14ac:dyDescent="0.25">
      <c r="A404" s="85" t="s">
        <v>367</v>
      </c>
      <c r="B404" s="86">
        <v>419</v>
      </c>
      <c r="C404" s="78">
        <f>34608.4/1000</f>
        <v>34.608400000000003</v>
      </c>
      <c r="D404" s="87">
        <f ca="1">IFERROR(__xludf.DUMMYFUNCTION("C398*IMPORTRANGE(""https://docs.google.com/spreadsheets/d/1xsp01RMmkav9iTy39Zaj_7tE9677EGlOJ14KU9TZn7I/"",""2003-2017!H3148"")"),30.939217432)</f>
        <v>30.939217432</v>
      </c>
      <c r="E404" s="87">
        <f ca="1">IFERROR(__xludf.DUMMYFUNCTION("C398*IMPORTRANGE(""https://docs.google.com/spreadsheets/d/1xsp01RMmkav9iTy39Zaj_7tE9677EGlOJ14KU9TZn7I/"",""2003-2017!T3148"")"),22.368101088)</f>
        <v>22.368101088</v>
      </c>
      <c r="F404" s="87">
        <f ca="1">IFERROR(__xludf.DUMMYFUNCTION("C398*IMPORTRANGE(""https://docs.google.com/spreadsheets/d/1xsp01RMmkav9iTy39Zaj_7tE9677EGlOJ14KU9TZn7I/"",""2003-2017!AC3148"")"),4156.4687707832)</f>
        <v>4156.4687707831999</v>
      </c>
      <c r="G404" s="64" t="s">
        <v>8</v>
      </c>
      <c r="K404" s="18"/>
      <c r="L404" s="2"/>
      <c r="M404" s="11"/>
      <c r="N404" s="11"/>
      <c r="O404" s="11"/>
      <c r="P404" s="11"/>
      <c r="Q404" s="1"/>
    </row>
    <row r="405" spans="1:17" ht="13.2" x14ac:dyDescent="0.25">
      <c r="A405" s="88" t="s">
        <v>368</v>
      </c>
      <c r="B405" s="89">
        <v>597</v>
      </c>
      <c r="C405" s="84">
        <f>46212.2/1000</f>
        <v>46.212199999999996</v>
      </c>
      <c r="D405" s="90">
        <f ca="1">IFERROR(__xludf.DUMMYFUNCTION("C399*IMPORTRANGE(""https://docs.google.com/spreadsheets/d/1xsp01RMmkav9iTy39Zaj_7tE9677EGlOJ14KU9TZn7I/"",""2003-2017!H3171"")"),41.144108026)</f>
        <v>41.144108025999998</v>
      </c>
      <c r="E405" s="90">
        <f ca="1">IFERROR(__xludf.DUMMYFUNCTION("C399*IMPORTRANGE(""https://docs.google.com/spreadsheets/d/1xsp01RMmkav9iTy39Zaj_7tE9677EGlOJ14KU9TZn7I/"",""2003-2017!T3171"")"),29.66361118)</f>
        <v>29.66361118</v>
      </c>
      <c r="F405" s="90">
        <f ca="1">IFERROR(__xludf.DUMMYFUNCTION("C399*IMPORTRANGE(""https://docs.google.com/spreadsheets/d/1xsp01RMmkav9iTy39Zaj_7tE9677EGlOJ14KU9TZn7I/"",""2003-2017!AC3171"")"),5711.3427150061)</f>
        <v>5711.3427150060998</v>
      </c>
      <c r="G405" s="69" t="s">
        <v>8</v>
      </c>
      <c r="K405" s="18"/>
      <c r="L405" s="2"/>
      <c r="M405" s="11"/>
      <c r="N405" s="11"/>
      <c r="O405" s="11"/>
      <c r="P405" s="11"/>
      <c r="Q405" s="1"/>
    </row>
    <row r="406" spans="1:17" ht="13.2" x14ac:dyDescent="0.25">
      <c r="A406" s="85" t="s">
        <v>369</v>
      </c>
      <c r="B406" s="86">
        <v>618</v>
      </c>
      <c r="C406" s="78">
        <f>47473.8/1000</f>
        <v>47.473800000000004</v>
      </c>
      <c r="D406" s="87">
        <f ca="1">IFERROR(__xludf.DUMMYFUNCTION("C400*IMPORTRANGE(""https://docs.google.com/spreadsheets/d/1xsp01RMmkav9iTy39Zaj_7tE9677EGlOJ14KU9TZn7I/"",""2003-2017!H3195"")"),43.1774211)</f>
        <v>43.177421099999997</v>
      </c>
      <c r="E406" s="87">
        <f ca="1">IFERROR(__xludf.DUMMYFUNCTION("C400*IMPORTRANGE(""https://docs.google.com/spreadsheets/d/1xsp01RMmkav9iTy39Zaj_7tE9677EGlOJ14KU9TZn7I/"",""2003-2017!T3195"")"),30.431180538)</f>
        <v>30.431180538</v>
      </c>
      <c r="F406" s="87">
        <f ca="1">IFERROR(__xludf.DUMMYFUNCTION("C400*IMPORTRANGE(""https://docs.google.com/spreadsheets/d/1xsp01RMmkav9iTy39Zaj_7tE9677EGlOJ14KU9TZn7I/"",""2003-2017!AC3195"")"),5866.337466)</f>
        <v>5866.3374659999999</v>
      </c>
      <c r="G406" s="64" t="s">
        <v>8</v>
      </c>
      <c r="K406" s="18"/>
      <c r="L406" s="2"/>
      <c r="M406" s="11"/>
      <c r="N406" s="11"/>
      <c r="O406" s="11"/>
      <c r="P406" s="11"/>
      <c r="Q406" s="1"/>
    </row>
    <row r="407" spans="1:17" ht="13.2" x14ac:dyDescent="0.25">
      <c r="A407" s="88" t="s">
        <v>370</v>
      </c>
      <c r="B407" s="89">
        <v>507</v>
      </c>
      <c r="C407" s="84">
        <f>31333.8/1000</f>
        <v>31.3338</v>
      </c>
      <c r="D407" s="90">
        <f ca="1">IFERROR(__xludf.DUMMYFUNCTION("C401*IMPORTRANGE(""https://docs.google.com/spreadsheets/d/1xsp01RMmkav9iTy39Zaj_7tE9677EGlOJ14KU9TZn7I/"",""2003-2017!H3217"")"),28.2464806859999)</f>
        <v>28.246480685999899</v>
      </c>
      <c r="E407" s="90">
        <f ca="1">IFERROR(__xludf.DUMMYFUNCTION("C401*IMPORTRANGE(""https://docs.google.com/spreadsheets/d/1xsp01RMmkav9iTy39Zaj_7tE9677EGlOJ14KU9TZn7I/"",""2003-2017!T3217"")"),20.078072364)</f>
        <v>20.078072364000001</v>
      </c>
      <c r="F407" s="90">
        <f ca="1">IFERROR(__xludf.DUMMYFUNCTION("C401*IMPORTRANGE(""https://docs.google.com/spreadsheets/d/1xsp01RMmkav9iTy39Zaj_7tE9677EGlOJ14KU9TZn7I/"",""2003-2017!AC3217"")"),3893.3812249986)</f>
        <v>3893.3812249985999</v>
      </c>
      <c r="G407" s="69" t="s">
        <v>8</v>
      </c>
      <c r="K407" s="18"/>
      <c r="L407" s="2"/>
      <c r="M407" s="11"/>
      <c r="N407" s="11"/>
      <c r="O407" s="11"/>
      <c r="P407" s="11"/>
      <c r="Q407" s="1"/>
    </row>
    <row r="408" spans="1:17" ht="13.2" x14ac:dyDescent="0.25">
      <c r="A408" s="85" t="s">
        <v>371</v>
      </c>
      <c r="B408" s="86">
        <v>546</v>
      </c>
      <c r="C408" s="78">
        <f>19790.2/1000</f>
        <v>19.790200000000002</v>
      </c>
      <c r="D408" s="87">
        <f ca="1">IFERROR(__xludf.DUMMYFUNCTION("C402*IMPORTRANGE(""https://docs.google.com/spreadsheets/d/1xsp01RMmkav9iTy39Zaj_7tE9677EGlOJ14KU9TZn7I/"",""2003-2017!H3240"")"),17.633167151)</f>
        <v>17.633167150999999</v>
      </c>
      <c r="E408" s="87">
        <f ca="1">IFERROR(__xludf.DUMMYFUNCTION("C402*IMPORTRANGE(""https://docs.google.com/spreadsheets/d/1xsp01RMmkav9iTy39Zaj_7tE9677EGlOJ14KU9TZn7I/"",""2003-2017!T3240"")"),12.893117398)</f>
        <v>12.893117397999999</v>
      </c>
      <c r="F408" s="87">
        <f ca="1">IFERROR(__xludf.DUMMYFUNCTION("C402*IMPORTRANGE(""https://docs.google.com/spreadsheets/d/1xsp01RMmkav9iTy39Zaj_7tE9677EGlOJ14KU9TZn7I/"",""2003-2017!AC3240"")"),2379.1777945245)</f>
        <v>2379.1777945244999</v>
      </c>
      <c r="G408" s="64" t="s">
        <v>8</v>
      </c>
      <c r="K408" s="18"/>
      <c r="L408" s="2"/>
      <c r="M408" s="11"/>
      <c r="N408" s="11"/>
      <c r="O408" s="11"/>
      <c r="P408" s="11"/>
      <c r="Q408" s="1"/>
    </row>
    <row r="409" spans="1:17" ht="13.2" x14ac:dyDescent="0.25">
      <c r="A409" s="88" t="s">
        <v>372</v>
      </c>
      <c r="B409" s="89">
        <v>572</v>
      </c>
      <c r="C409" s="84">
        <f>35328.3/1000</f>
        <v>35.328300000000006</v>
      </c>
      <c r="D409" s="90">
        <f ca="1">IFERROR(__xludf.DUMMYFUNCTION("C403*IMPORTRANGE(""https://docs.google.com/spreadsheets/d/1xsp01RMmkav9iTy39Zaj_7tE9677EGlOJ14KU9TZn7I/"",""2003-2017!H3263"")"),31.3918441725)</f>
        <v>31.391844172500001</v>
      </c>
      <c r="E409" s="90">
        <f ca="1">IFERROR(__xludf.DUMMYFUNCTION("C403*IMPORTRANGE(""https://docs.google.com/spreadsheets/d/1xsp01RMmkav9iTy39Zaj_7tE9677EGlOJ14KU9TZn7I/"",""2003-2017!T3263"")"),23.0550719385)</f>
        <v>23.055071938499999</v>
      </c>
      <c r="F409" s="90">
        <f ca="1">IFERROR(__xludf.DUMMYFUNCTION("C403*IMPORTRANGE(""https://docs.google.com/spreadsheets/d/1xsp01RMmkav9iTy39Zaj_7tE9677EGlOJ14KU9TZn7I/"",""2003-2017!AC3263"")"),4238.0535952566)</f>
        <v>4238.0535952565997</v>
      </c>
      <c r="G409" s="69" t="s">
        <v>8</v>
      </c>
      <c r="K409" s="18"/>
      <c r="L409" s="2"/>
      <c r="M409" s="11"/>
      <c r="N409" s="11"/>
      <c r="O409" s="11"/>
      <c r="P409" s="11"/>
      <c r="Q409" s="1"/>
    </row>
    <row r="410" spans="1:17" ht="13.2" x14ac:dyDescent="0.25">
      <c r="A410" s="85" t="s">
        <v>373</v>
      </c>
      <c r="B410" s="86">
        <v>547</v>
      </c>
      <c r="C410" s="78">
        <f>88173.1/1000</f>
        <v>88.173100000000005</v>
      </c>
      <c r="D410" s="87">
        <f ca="1">IFERROR(__xludf.DUMMYFUNCTION("C404*IMPORTRANGE(""https://docs.google.com/spreadsheets/d/1xsp01RMmkav9iTy39Zaj_7tE9677EGlOJ14KU9TZn7I/"",""2003-2017!H3285"")"),82.20378113)</f>
        <v>82.203781129999996</v>
      </c>
      <c r="E410" s="87">
        <f ca="1">IFERROR(__xludf.DUMMYFUNCTION("C404*IMPORTRANGE(""https://docs.google.com/spreadsheets/d/1xsp01RMmkav9iTy39Zaj_7tE9677EGlOJ14KU9TZn7I/"",""2003-2017!T3285"")"),57.970286326)</f>
        <v>57.970286326</v>
      </c>
      <c r="F410" s="87">
        <f ca="1">IFERROR(__xludf.DUMMYFUNCTION("C404*IMPORTRANGE(""https://docs.google.com/spreadsheets/d/1xsp01RMmkav9iTy39Zaj_7tE9677EGlOJ14KU9TZn7I/"",""2003-2017!AC3285"")"),10823.8655893924)</f>
        <v>10823.865589392401</v>
      </c>
      <c r="G410" s="64" t="s">
        <v>8</v>
      </c>
      <c r="K410" s="18"/>
      <c r="L410" s="2"/>
      <c r="M410" s="11"/>
      <c r="N410" s="11"/>
      <c r="O410" s="11"/>
      <c r="P410" s="11"/>
      <c r="Q410" s="1"/>
    </row>
    <row r="411" spans="1:17" ht="13.2" x14ac:dyDescent="0.25">
      <c r="A411" s="88" t="s">
        <v>374</v>
      </c>
      <c r="B411" s="89">
        <v>729</v>
      </c>
      <c r="C411" s="84">
        <f>71421.5/1000</f>
        <v>71.421499999999995</v>
      </c>
      <c r="D411" s="90">
        <f ca="1">IFERROR(__xludf.DUMMYFUNCTION("C405*IMPORTRANGE(""https://docs.google.com/spreadsheets/d/1xsp01RMmkav9iTy39Zaj_7tE9677EGlOJ14KU9TZn7I/"",""2003-2017!H3309"")"),65.4285219349999)</f>
        <v>65.428521934999907</v>
      </c>
      <c r="E411" s="90">
        <f ca="1">IFERROR(__xludf.DUMMYFUNCTION("C405*IMPORTRANGE(""https://docs.google.com/spreadsheets/d/1xsp01RMmkav9iTy39Zaj_7tE9677EGlOJ14KU9TZn7I/"",""2003-2017!T3309"")"),47.6845644749999)</f>
        <v>47.684564474999902</v>
      </c>
      <c r="F411" s="90">
        <f ca="1">IFERROR(__xludf.DUMMYFUNCTION("C405*IMPORTRANGE(""https://docs.google.com/spreadsheets/d/1xsp01RMmkav9iTy39Zaj_7tE9677EGlOJ14KU9TZn7I/"",""2003-2017!AC3309"")"),8690.21122676449)</f>
        <v>8690.2112267644898</v>
      </c>
      <c r="G411" s="69" t="s">
        <v>8</v>
      </c>
      <c r="K411" s="18"/>
      <c r="L411" s="2"/>
      <c r="M411" s="11"/>
      <c r="N411" s="11"/>
      <c r="O411" s="11"/>
      <c r="P411" s="11"/>
      <c r="Q411" s="1"/>
    </row>
    <row r="412" spans="1:17" ht="13.2" x14ac:dyDescent="0.25">
      <c r="A412" s="56">
        <v>2016</v>
      </c>
      <c r="B412" s="57"/>
      <c r="C412" s="60"/>
      <c r="D412" s="60"/>
      <c r="E412" s="60"/>
      <c r="F412" s="60"/>
      <c r="G412" s="59"/>
      <c r="K412" s="18"/>
      <c r="L412" s="2"/>
      <c r="M412" s="11"/>
      <c r="N412" s="11"/>
      <c r="O412" s="11"/>
      <c r="P412" s="11"/>
      <c r="Q412" s="1"/>
    </row>
    <row r="413" spans="1:17" ht="13.2" x14ac:dyDescent="0.25">
      <c r="A413" s="85" t="s">
        <v>375</v>
      </c>
      <c r="B413" s="86">
        <v>513</v>
      </c>
      <c r="C413" s="78">
        <f>26011.8/1000</f>
        <v>26.011800000000001</v>
      </c>
      <c r="D413" s="87">
        <f ca="1">IFERROR(__xludf.DUMMYFUNCTION("C407*IMPORTRANGE(""https://docs.google.com/spreadsheets/d/1xsp01RMmkav9iTy39Zaj_7tE9677EGlOJ14KU9TZn7I/"",""2003-2017!H3332"")"),23.947503552)</f>
        <v>23.947503552000001</v>
      </c>
      <c r="E413" s="87">
        <f ca="1">IFERROR(__xludf.DUMMYFUNCTION("C407*IMPORTRANGE(""https://docs.google.com/spreadsheets/d/1xsp01RMmkav9iTy39Zaj_7tE9677EGlOJ14KU9TZn7I/"",""2003-2017!T3332"")"),18.053749908)</f>
        <v>18.053749908</v>
      </c>
      <c r="F413" s="87">
        <f ca="1">IFERROR(__xludf.DUMMYFUNCTION("C407*IMPORTRANGE(""https://docs.google.com/spreadsheets/d/1xsp01RMmkav9iTy39Zaj_7tE9677EGlOJ14KU9TZn7I/"",""2003-2017!AC3332"")"),3074.6728734354)</f>
        <v>3074.6728734354001</v>
      </c>
      <c r="G413" s="64" t="s">
        <v>8</v>
      </c>
      <c r="K413" s="18"/>
      <c r="L413" s="2"/>
      <c r="M413" s="11"/>
      <c r="N413" s="11"/>
      <c r="O413" s="11"/>
      <c r="P413" s="11"/>
      <c r="Q413" s="1"/>
    </row>
    <row r="414" spans="1:17" ht="13.2" x14ac:dyDescent="0.25">
      <c r="A414" s="88" t="s">
        <v>376</v>
      </c>
      <c r="B414" s="89">
        <v>466</v>
      </c>
      <c r="C414" s="84">
        <f>29251.4/1000</f>
        <v>29.2514</v>
      </c>
      <c r="D414" s="90">
        <f ca="1">IFERROR(__xludf.DUMMYFUNCTION("C408*IMPORTRANGE(""https://docs.google.com/spreadsheets/d/1xsp01RMmkav9iTy39Zaj_7tE9677EGlOJ14KU9TZn7I/"",""2003-2017!H3354"")"),26.2981786559999)</f>
        <v>26.298178655999902</v>
      </c>
      <c r="E414" s="90">
        <f ca="1">IFERROR(__xludf.DUMMYFUNCTION("C408*IMPORTRANGE(""https://docs.google.com/spreadsheets/d/1xsp01RMmkav9iTy39Zaj_7tE9677EGlOJ14KU9TZn7I/"",""2003-2017!T3354"")"),20.3004715999999)</f>
        <v>20.300471599999899</v>
      </c>
      <c r="F414" s="90">
        <f ca="1">IFERROR(__xludf.DUMMYFUNCTION("C408*IMPORTRANGE(""https://docs.google.com/spreadsheets/d/1xsp01RMmkav9iTy39Zaj_7tE9677EGlOJ14KU9TZn7I/"",""2003-2017!AC3354"")"),3336.9997705028)</f>
        <v>3336.9997705027999</v>
      </c>
      <c r="G414" s="69" t="s">
        <v>8</v>
      </c>
      <c r="K414" s="18"/>
      <c r="L414" s="2"/>
      <c r="M414" s="11"/>
      <c r="N414" s="11"/>
      <c r="O414" s="11"/>
      <c r="P414" s="11"/>
      <c r="Q414" s="1"/>
    </row>
    <row r="415" spans="1:17" ht="13.2" x14ac:dyDescent="0.25">
      <c r="A415" s="85" t="s">
        <v>377</v>
      </c>
      <c r="B415" s="86">
        <v>597</v>
      </c>
      <c r="C415" s="78">
        <f>38411.4/1000</f>
        <v>38.4114</v>
      </c>
      <c r="D415" s="87">
        <f ca="1">IFERROR(__xludf.DUMMYFUNCTION("C409*IMPORTRANGE(""https://docs.google.com/spreadsheets/d/1xsp01RMmkav9iTy39Zaj_7tE9677EGlOJ14KU9TZn7I/"",""2003-2017!H3378"")"),34.394335788)</f>
        <v>34.394335787999999</v>
      </c>
      <c r="E415" s="87">
        <f ca="1">IFERROR(__xludf.DUMMYFUNCTION("C409*IMPORTRANGE(""https://docs.google.com/spreadsheets/d/1xsp01RMmkav9iTy39Zaj_7tE9677EGlOJ14KU9TZn7I/"",""2003-2017!T3378"")"),27.002830086)</f>
        <v>27.002830085999999</v>
      </c>
      <c r="F415" s="87">
        <f ca="1">IFERROR(__xludf.DUMMYFUNCTION("C409*IMPORTRANGE(""https://docs.google.com/spreadsheets/d/1xsp01RMmkav9iTy39Zaj_7tE9677EGlOJ14KU9TZn7I/"",""2003-2017!AC3378"")"),4335.1106424114)</f>
        <v>4335.1106424113996</v>
      </c>
      <c r="G415" s="64" t="s">
        <v>8</v>
      </c>
      <c r="K415" s="18"/>
      <c r="L415" s="2"/>
      <c r="M415" s="11"/>
      <c r="N415" s="11"/>
      <c r="O415" s="11"/>
      <c r="P415" s="11"/>
      <c r="Q415" s="1"/>
    </row>
    <row r="416" spans="1:17" ht="13.2" x14ac:dyDescent="0.25">
      <c r="A416" s="88" t="s">
        <v>378</v>
      </c>
      <c r="B416" s="89">
        <v>530</v>
      </c>
      <c r="C416" s="84">
        <f>20675.9/1000</f>
        <v>20.675900000000002</v>
      </c>
      <c r="D416" s="90">
        <f ca="1">IFERROR(__xludf.DUMMYFUNCTION("C410*IMPORTRANGE(""https://docs.google.com/spreadsheets/d/1xsp01RMmkav9iTy39Zaj_7tE9677EGlOJ14KU9TZn7I/"",""2003-2017!H3400"")"),18.20719754)</f>
        <v>18.207197539999999</v>
      </c>
      <c r="E416" s="90">
        <f ca="1">IFERROR(__xludf.DUMMYFUNCTION("C410*IMPORTRANGE(""https://docs.google.com/spreadsheets/d/1xsp01RMmkav9iTy39Zaj_7tE9677EGlOJ14KU9TZn7I/"",""2003-2017!T3400"")"),14.490084238)</f>
        <v>14.490084238</v>
      </c>
      <c r="F416" s="90">
        <f ca="1">IFERROR(__xludf.DUMMYFUNCTION("C410*IMPORTRANGE(""https://docs.google.com/spreadsheets/d/1xsp01RMmkav9iTy39Zaj_7tE9677EGlOJ14KU9TZn7I/"",""2003-2017!AC3400"")"),2262.7083855964)</f>
        <v>2262.7083855964001</v>
      </c>
      <c r="G416" s="69" t="s">
        <v>8</v>
      </c>
      <c r="K416" s="18"/>
      <c r="L416" s="2"/>
      <c r="M416" s="11"/>
      <c r="N416" s="11"/>
      <c r="O416" s="11"/>
      <c r="P416" s="11"/>
      <c r="Q416" s="1"/>
    </row>
    <row r="417" spans="1:17" ht="13.2" x14ac:dyDescent="0.25">
      <c r="A417" s="85" t="s">
        <v>379</v>
      </c>
      <c r="B417" s="86">
        <v>481</v>
      </c>
      <c r="C417" s="78">
        <f>41295.5/1000</f>
        <v>41.295499999999997</v>
      </c>
      <c r="D417" s="87">
        <f ca="1">IFERROR(__xludf.DUMMYFUNCTION("C411*IMPORTRANGE(""https://docs.google.com/spreadsheets/d/1xsp01RMmkav9iTy39Zaj_7tE9677EGlOJ14KU9TZn7I/"",""2003-2017!H3423"")"),36.4913880075)</f>
        <v>36.491388007499999</v>
      </c>
      <c r="E417" s="87">
        <f ca="1">IFERROR(__xludf.DUMMYFUNCTION("C411*IMPORTRANGE(""https://docs.google.com/spreadsheets/d/1xsp01RMmkav9iTy39Zaj_7tE9677EGlOJ14KU9TZn7I/"",""2003-2017!T3423"")"),28.4798545299999)</f>
        <v>28.479854529999901</v>
      </c>
      <c r="F417" s="87">
        <f ca="1">IFERROR(__xludf.DUMMYFUNCTION("C411*IMPORTRANGE(""https://docs.google.com/spreadsheets/d/1xsp01RMmkav9iTy39Zaj_7tE9677EGlOJ14KU9TZn7I/"",""2003-2017!AC3423"")"),4504.926095)</f>
        <v>4504.9260949999998</v>
      </c>
      <c r="G417" s="64" t="s">
        <v>8</v>
      </c>
      <c r="K417" s="18"/>
      <c r="L417" s="2"/>
      <c r="M417" s="11"/>
      <c r="N417" s="11"/>
      <c r="O417" s="11"/>
      <c r="P417" s="11"/>
      <c r="Q417" s="1"/>
    </row>
    <row r="418" spans="1:17" ht="13.2" x14ac:dyDescent="0.25">
      <c r="A418" s="88" t="s">
        <v>380</v>
      </c>
      <c r="B418" s="89">
        <v>528</v>
      </c>
      <c r="C418" s="84">
        <f>38139.4/1000</f>
        <v>38.139400000000002</v>
      </c>
      <c r="D418" s="90">
        <f ca="1">IFERROR(__xludf.DUMMYFUNCTION("C412*IMPORTRANGE(""https://docs.google.com/spreadsheets/d/1xsp01RMmkav9iTy39Zaj_7tE9677EGlOJ14KU9TZn7I/"",""2003-2017!H3446"")"),33.879610414)</f>
        <v>33.879610413999998</v>
      </c>
      <c r="E418" s="90">
        <f ca="1">IFERROR(__xludf.DUMMYFUNCTION("C412*IMPORTRANGE(""https://docs.google.com/spreadsheets/d/1xsp01RMmkav9iTy39Zaj_7tE9677EGlOJ14KU9TZn7I/"",""2003-2017!T3446"")"),26.462831993)</f>
        <v>26.462831993000002</v>
      </c>
      <c r="F418" s="90">
        <f ca="1">IFERROR(__xludf.DUMMYFUNCTION("C412*IMPORTRANGE(""https://docs.google.com/spreadsheets/d/1xsp01RMmkav9iTy39Zaj_7tE9677EGlOJ14KU9TZn7I/"",""2003-2017!AC3446"")"),4041.5749326212)</f>
        <v>4041.5749326211999</v>
      </c>
      <c r="G418" s="69" t="s">
        <v>8</v>
      </c>
      <c r="K418" s="18"/>
      <c r="L418" s="2"/>
      <c r="M418" s="11"/>
      <c r="N418" s="11"/>
      <c r="O418" s="11"/>
      <c r="P418" s="11"/>
      <c r="Q418" s="1"/>
    </row>
    <row r="419" spans="1:17" ht="13.2" x14ac:dyDescent="0.25">
      <c r="A419" s="85" t="s">
        <v>381</v>
      </c>
      <c r="B419" s="86">
        <v>441</v>
      </c>
      <c r="C419" s="78">
        <f>46806.4/1000</f>
        <v>46.806400000000004</v>
      </c>
      <c r="D419" s="87">
        <f ca="1">IFERROR(__xludf.DUMMYFUNCTION("C413*IMPORTRANGE(""https://docs.google.com/spreadsheets/d/1xsp01RMmkav9iTy39Zaj_7tE9677EGlOJ14KU9TZn7I/"",""2003-2017!H3468"")"),42.301284)</f>
        <v>42.301284000000003</v>
      </c>
      <c r="E419" s="87">
        <f ca="1">IFERROR(__xludf.DUMMYFUNCTION("C413*IMPORTRANGE(""https://docs.google.com/spreadsheets/d/1xsp01RMmkav9iTy39Zaj_7tE9677EGlOJ14KU9TZn7I/"",""2003-2017!T3468"")"),35.562098528)</f>
        <v>35.562098528</v>
      </c>
      <c r="F419" s="87">
        <f ca="1">IFERROR(__xludf.DUMMYFUNCTION("C413*IMPORTRANGE(""https://docs.google.com/spreadsheets/d/1xsp01RMmkav9iTy39Zaj_7tE9677EGlOJ14KU9TZn7I/"",""2003-2017!AC3468"")"),4903.2510979808)</f>
        <v>4903.2510979808003</v>
      </c>
      <c r="G419" s="64" t="s">
        <v>8</v>
      </c>
      <c r="K419" s="18"/>
      <c r="L419" s="2"/>
      <c r="M419" s="11"/>
      <c r="N419" s="11"/>
      <c r="O419" s="11"/>
      <c r="P419" s="11"/>
      <c r="Q419" s="1"/>
    </row>
    <row r="420" spans="1:17" ht="13.2" x14ac:dyDescent="0.25">
      <c r="A420" s="88" t="s">
        <v>382</v>
      </c>
      <c r="B420" s="89">
        <v>519</v>
      </c>
      <c r="C420" s="84">
        <f>25806.3/1000</f>
        <v>25.8063</v>
      </c>
      <c r="D420" s="90">
        <f ca="1">IFERROR(__xludf.DUMMYFUNCTION("C414*IMPORTRANGE(""https://docs.google.com/spreadsheets/d/1xsp01RMmkav9iTy39Zaj_7tE9677EGlOJ14KU9TZn7I/"",""2003-2017!H3492"")"),23.069283822)</f>
        <v>23.069283821999999</v>
      </c>
      <c r="E420" s="90">
        <f ca="1">IFERROR(__xludf.DUMMYFUNCTION("C414*IMPORTRANGE(""https://docs.google.com/spreadsheets/d/1xsp01RMmkav9iTy39Zaj_7tE9677EGlOJ14KU9TZn7I/"",""2003-2017!T3492"")"),19.68762627)</f>
        <v>19.687626269999999</v>
      </c>
      <c r="F420" s="90">
        <f ca="1">IFERROR(__xludf.DUMMYFUNCTION("C414*IMPORTRANGE(""https://docs.google.com/spreadsheets/d/1xsp01RMmkav9iTy39Zaj_7tE9677EGlOJ14KU9TZn7I/"",""2003-2017!AC3492"")"),2612.6297603874)</f>
        <v>2612.6297603874</v>
      </c>
      <c r="G420" s="69" t="s">
        <v>8</v>
      </c>
      <c r="K420" s="18"/>
      <c r="L420" s="2"/>
      <c r="M420" s="11"/>
      <c r="N420" s="11"/>
      <c r="O420" s="11"/>
      <c r="P420" s="11"/>
      <c r="Q420" s="1"/>
    </row>
    <row r="421" spans="1:17" ht="13.2" x14ac:dyDescent="0.25">
      <c r="A421" s="85" t="s">
        <v>383</v>
      </c>
      <c r="B421" s="86">
        <v>461</v>
      </c>
      <c r="C421" s="78">
        <f>31839.2/1000</f>
        <v>31.839200000000002</v>
      </c>
      <c r="D421" s="87">
        <f ca="1">IFERROR(__xludf.DUMMYFUNCTION("C415*IMPORTRANGE(""https://docs.google.com/spreadsheets/d/1xsp01RMmkav9iTy39Zaj_7tE9677EGlOJ14KU9TZn7I/"",""2003-2017!H3515"")"),28.37827896)</f>
        <v>28.378278959999999</v>
      </c>
      <c r="E421" s="87">
        <f ca="1">IFERROR(__xludf.DUMMYFUNCTION("C415*IMPORTRANGE(""https://docs.google.com/spreadsheets/d/1xsp01RMmkav9iTy39Zaj_7tE9677EGlOJ14KU9TZn7I/"",""2003-2017!T3515"")"),24.18664828)</f>
        <v>24.18664828</v>
      </c>
      <c r="F421" s="87">
        <f ca="1">IFERROR(__xludf.DUMMYFUNCTION("C415*IMPORTRANGE(""https://docs.google.com/spreadsheets/d/1xsp01RMmkav9iTy39Zaj_7tE9677EGlOJ14KU9TZn7I/"",""2003-2017!AC3515"")"),3242.4245777588)</f>
        <v>3242.4245777587998</v>
      </c>
      <c r="G421" s="64" t="s">
        <v>8</v>
      </c>
      <c r="K421" s="18"/>
      <c r="L421" s="2"/>
      <c r="M421" s="11"/>
      <c r="N421" s="11"/>
      <c r="O421" s="11"/>
      <c r="P421" s="11"/>
      <c r="Q421" s="1"/>
    </row>
    <row r="422" spans="1:17" ht="13.2" x14ac:dyDescent="0.25">
      <c r="A422" s="88" t="s">
        <v>384</v>
      </c>
      <c r="B422" s="89">
        <v>504</v>
      </c>
      <c r="C422" s="84">
        <f>31970.7/1000</f>
        <v>31.970700000000001</v>
      </c>
      <c r="D422" s="90">
        <f ca="1">IFERROR(__xludf.DUMMYFUNCTION("C416*IMPORTRANGE(""https://docs.google.com/spreadsheets/d/1xsp01RMmkav9iTy39Zaj_7tE9677EGlOJ14KU9TZn7I/"",""2003-2017!H3537"")"),29.032912377)</f>
        <v>29.032912376999999</v>
      </c>
      <c r="E422" s="90">
        <f ca="1">IFERROR(__xludf.DUMMYFUNCTION("C416*IMPORTRANGE(""https://docs.google.com/spreadsheets/d/1xsp01RMmkav9iTy39Zaj_7tE9677EGlOJ14KU9TZn7I/"",""2003-2017!T3537"")"),26.08489413)</f>
        <v>26.084894129999999</v>
      </c>
      <c r="F422" s="90">
        <f ca="1">IFERROR(__xludf.DUMMYFUNCTION("C416*IMPORTRANGE(""https://docs.google.com/spreadsheets/d/1xsp01RMmkav9iTy39Zaj_7tE9677EGlOJ14KU9TZn7I/"",""2003-2017!AC3537"")"),3320.1891017586)</f>
        <v>3320.1891017585999</v>
      </c>
      <c r="G422" s="69" t="s">
        <v>8</v>
      </c>
      <c r="K422" s="18"/>
      <c r="L422" s="2"/>
      <c r="M422" s="11"/>
      <c r="N422" s="11"/>
      <c r="O422" s="11"/>
      <c r="P422" s="11"/>
      <c r="Q422" s="1"/>
    </row>
    <row r="423" spans="1:17" ht="13.2" x14ac:dyDescent="0.25">
      <c r="A423" s="85" t="s">
        <v>385</v>
      </c>
      <c r="B423" s="86">
        <v>497</v>
      </c>
      <c r="C423" s="78">
        <f>79468.3/1000</f>
        <v>79.468299999999999</v>
      </c>
      <c r="D423" s="87">
        <f ca="1">IFERROR(__xludf.DUMMYFUNCTION("C417*IMPORTRANGE(""https://docs.google.com/spreadsheets/d/1xsp01RMmkav9iTy39Zaj_7tE9677EGlOJ14KU9TZn7I/"",""2003-2017!H3560"")"),74.00088096)</f>
        <v>74.000880960000003</v>
      </c>
      <c r="E423" s="87">
        <f ca="1">IFERROR(__xludf.DUMMYFUNCTION("C417*IMPORTRANGE(""https://docs.google.com/spreadsheets/d/1xsp01RMmkav9iTy39Zaj_7tE9677EGlOJ14KU9TZn7I/"",""2003-2017!T3560"")"),63.8925132)</f>
        <v>63.892513200000003</v>
      </c>
      <c r="F423" s="87">
        <f ca="1">IFERROR(__xludf.DUMMYFUNCTION("C417*IMPORTRANGE(""https://docs.google.com/spreadsheets/d/1xsp01RMmkav9iTy39Zaj_7tE9677EGlOJ14KU9TZn7I/"",""2003-2017!AC3560"")"),8621.79428418905)</f>
        <v>8621.7942841890508</v>
      </c>
      <c r="G423" s="64" t="s">
        <v>8</v>
      </c>
      <c r="K423" s="18"/>
      <c r="L423" s="2"/>
      <c r="M423" s="11"/>
      <c r="N423" s="11"/>
      <c r="O423" s="11"/>
      <c r="P423" s="11"/>
      <c r="Q423" s="1"/>
    </row>
    <row r="424" spans="1:17" ht="13.2" x14ac:dyDescent="0.25">
      <c r="A424" s="88" t="s">
        <v>386</v>
      </c>
      <c r="B424" s="89">
        <v>618</v>
      </c>
      <c r="C424" s="84">
        <f>47333.7/1000</f>
        <v>47.3337</v>
      </c>
      <c r="D424" s="90">
        <f ca="1">IFERROR(__xludf.DUMMYFUNCTION("C418*IMPORTRANGE(""https://docs.google.com/spreadsheets/d/1xsp01RMmkav9iTy39Zaj_7tE9677EGlOJ14KU9TZn7I/"",""2003-2017!H3583"")"),44.94808152)</f>
        <v>44.948081520000002</v>
      </c>
      <c r="E424" s="90">
        <f ca="1">IFERROR(__xludf.DUMMYFUNCTION("C418*IMPORTRANGE(""https://docs.google.com/spreadsheets/d/1xsp01RMmkav9iTy39Zaj_7tE9677EGlOJ14KU9TZn7I/"",""2003-2017!T3583"")"),37.85749326)</f>
        <v>37.857493259999998</v>
      </c>
      <c r="F424" s="90">
        <f ca="1">IFERROR(__xludf.DUMMYFUNCTION("C418*IMPORTRANGE(""https://docs.google.com/spreadsheets/d/1xsp01RMmkav9iTy39Zaj_7tE9677EGlOJ14KU9TZn7I/"",""2003-2017!AC3583"")"),5521.57079606685)</f>
        <v>5521.5707960668497</v>
      </c>
      <c r="G424" s="69" t="s">
        <v>8</v>
      </c>
      <c r="K424" s="18"/>
      <c r="L424" s="2"/>
      <c r="M424" s="11"/>
      <c r="N424" s="11"/>
      <c r="O424" s="11"/>
      <c r="P424" s="11"/>
      <c r="Q424" s="1"/>
    </row>
    <row r="425" spans="1:17" ht="13.2" x14ac:dyDescent="0.25">
      <c r="A425" s="56">
        <v>2017</v>
      </c>
      <c r="B425" s="57"/>
      <c r="C425" s="60"/>
      <c r="D425" s="60"/>
      <c r="E425" s="60"/>
      <c r="F425" s="60"/>
      <c r="G425" s="59"/>
      <c r="K425" s="18"/>
      <c r="L425" s="2"/>
      <c r="M425" s="11"/>
      <c r="N425" s="11"/>
      <c r="O425" s="11"/>
      <c r="P425" s="11"/>
      <c r="Q425" s="1"/>
    </row>
    <row r="426" spans="1:17" ht="13.2" x14ac:dyDescent="0.25">
      <c r="A426" s="85" t="s">
        <v>387</v>
      </c>
      <c r="B426" s="86">
        <v>485</v>
      </c>
      <c r="C426" s="78">
        <f>28840.9/1000</f>
        <v>28.840900000000001</v>
      </c>
      <c r="D426" s="87">
        <f ca="1">IFERROR(__xludf.DUMMYFUNCTION("C420*IMPORTRANGE(""https://docs.google.com/spreadsheets/d/1xsp01RMmkav9iTy39Zaj_7tE9677EGlOJ14KU9TZn7I/"",""2003-2017!H3607"")"),27.1512558735)</f>
        <v>27.151255873499998</v>
      </c>
      <c r="E426" s="87">
        <f ca="1">IFERROR(__xludf.DUMMYFUNCTION("C420*IMPORTRANGE(""https://docs.google.com/spreadsheets/d/1xsp01RMmkav9iTy39Zaj_7tE9677EGlOJ14KU9TZn7I/"",""2003-2017!T3607"")"),23.3859321739999)</f>
        <v>23.385932173999901</v>
      </c>
      <c r="F426" s="87">
        <f ca="1">IFERROR(__xludf.DUMMYFUNCTION("C420*IMPORTRANGE(""https://docs.google.com/spreadsheets/d/1xsp01RMmkav9iTy39Zaj_7tE9677EGlOJ14KU9TZn7I/"",""2003-2017!AC3607"")"),3308.4838435)</f>
        <v>3308.4838435000001</v>
      </c>
      <c r="G426" s="64" t="s">
        <v>8</v>
      </c>
      <c r="K426" s="18"/>
      <c r="L426" s="2"/>
      <c r="M426" s="11"/>
      <c r="N426" s="11"/>
      <c r="O426" s="11"/>
      <c r="P426" s="11"/>
      <c r="Q426" s="1"/>
    </row>
    <row r="427" spans="1:17" ht="13.2" x14ac:dyDescent="0.25">
      <c r="A427" s="88" t="s">
        <v>388</v>
      </c>
      <c r="B427" s="89">
        <v>387</v>
      </c>
      <c r="C427" s="84">
        <f>26255.8/1000</f>
        <v>26.255800000000001</v>
      </c>
      <c r="D427" s="90">
        <f ca="1">IFERROR(__xludf.DUMMYFUNCTION("C421*IMPORTRANGE(""https://docs.google.com/spreadsheets/d/1xsp01RMmkav9iTy39Zaj_7tE9677EGlOJ14KU9TZn7I/"",""2003-2017!H3628"")"),24.715766051)</f>
        <v>24.715766050999999</v>
      </c>
      <c r="E427" s="90">
        <f ca="1">IFERROR(__xludf.DUMMYFUNCTION("C421*IMPORTRANGE(""https://docs.google.com/spreadsheets/d/1xsp01RMmkav9iTy39Zaj_7tE9677EGlOJ14KU9TZn7I/"",""2003-2017!T3628"")"),21.028532778)</f>
        <v>21.028532777999999</v>
      </c>
      <c r="F427" s="90">
        <f ca="1">IFERROR(__xludf.DUMMYFUNCTION("C421*IMPORTRANGE(""https://docs.google.com/spreadsheets/d/1xsp01RMmkav9iTy39Zaj_7tE9677EGlOJ14KU9TZn7I/"",""2003-2017!AC3628"")"),2969.4128551558)</f>
        <v>2969.4128551558001</v>
      </c>
      <c r="G427" s="69" t="s">
        <v>8</v>
      </c>
      <c r="K427" s="18"/>
      <c r="L427" s="2"/>
      <c r="M427" s="11"/>
      <c r="N427" s="11"/>
      <c r="O427" s="11"/>
      <c r="P427" s="11"/>
      <c r="Q427" s="1"/>
    </row>
    <row r="428" spans="1:17" ht="13.2" x14ac:dyDescent="0.25">
      <c r="A428" s="85" t="s">
        <v>389</v>
      </c>
      <c r="B428" s="86">
        <v>557</v>
      </c>
      <c r="C428" s="78">
        <f>42131.1/1000</f>
        <v>42.131099999999996</v>
      </c>
      <c r="D428" s="87">
        <f ca="1">IFERROR(__xludf.DUMMYFUNCTION("C422*IMPORTRANGE(""https://docs.google.com/spreadsheets/d/1xsp01RMmkav9iTy39Zaj_7tE9677EGlOJ14KU9TZn7I/"",""2003-2017!H3652"")"),39.411537495)</f>
        <v>39.411537494999997</v>
      </c>
      <c r="E428" s="87">
        <f ca="1">IFERROR(__xludf.DUMMYFUNCTION("C422*IMPORTRANGE(""https://docs.google.com/spreadsheets/d/1xsp01RMmkav9iTy39Zaj_7tE9677EGlOJ14KU9TZn7I/"",""2003-2017!T3652"")"),34.111023804)</f>
        <v>34.111023803999998</v>
      </c>
      <c r="F428" s="87">
        <f ca="1">IFERROR(__xludf.DUMMYFUNCTION("C422*IMPORTRANGE(""https://docs.google.com/spreadsheets/d/1xsp01RMmkav9iTy39Zaj_7tE9677EGlOJ14KU9TZn7I/"",""2003-2017!AC3652"")"),4775.1387054756)</f>
        <v>4775.1387054755996</v>
      </c>
      <c r="G428" s="64" t="s">
        <v>8</v>
      </c>
      <c r="K428" s="18"/>
      <c r="L428" s="2"/>
      <c r="M428" s="11"/>
      <c r="N428" s="11"/>
      <c r="O428" s="11"/>
      <c r="P428" s="11"/>
      <c r="Q428" s="1"/>
    </row>
    <row r="429" spans="1:17" ht="13.2" x14ac:dyDescent="0.25">
      <c r="A429" s="88" t="s">
        <v>390</v>
      </c>
      <c r="B429" s="89">
        <v>427</v>
      </c>
      <c r="C429" s="84">
        <f>32125.4/1000</f>
        <v>32.125399999999999</v>
      </c>
      <c r="D429" s="90">
        <f ca="1">IFERROR(__xludf.DUMMYFUNCTION("C423*IMPORTRANGE(""https://docs.google.com/spreadsheets/d/1xsp01RMmkav9iTy39Zaj_7tE9677EGlOJ14KU9TZn7I/"",""2003-2017!H3673"")"),30.103748578)</f>
        <v>30.103748578000001</v>
      </c>
      <c r="E429" s="90">
        <f ca="1">IFERROR(__xludf.DUMMYFUNCTION("C423*IMPORTRANGE(""https://docs.google.com/spreadsheets/d/1xsp01RMmkav9iTy39Zaj_7tE9677EGlOJ14KU9TZn7I/"",""2003-2017!T3673"")"),25.607477594)</f>
        <v>25.607477593999999</v>
      </c>
      <c r="F429" s="90">
        <f ca="1">IFERROR(__xludf.DUMMYFUNCTION("C423*IMPORTRANGE(""https://docs.google.com/spreadsheets/d/1xsp01RMmkav9iTy39Zaj_7tE9677EGlOJ14KU9TZn7I/"",""2003-2017!AC3673"")"),3539.5604129238)</f>
        <v>3539.5604129238</v>
      </c>
      <c r="G429" s="69" t="s">
        <v>8</v>
      </c>
      <c r="K429" s="18"/>
      <c r="L429" s="2"/>
      <c r="M429" s="11"/>
      <c r="N429" s="11"/>
      <c r="O429" s="11"/>
      <c r="P429" s="11"/>
      <c r="Q429" s="1"/>
    </row>
    <row r="430" spans="1:17" ht="13.2" x14ac:dyDescent="0.25">
      <c r="A430" s="85" t="s">
        <v>391</v>
      </c>
      <c r="B430" s="86">
        <v>437</v>
      </c>
      <c r="C430" s="78">
        <f>61429.5/1000</f>
        <v>61.429499999999997</v>
      </c>
      <c r="D430" s="87">
        <f ca="1">IFERROR(__xludf.DUMMYFUNCTION("C424*IMPORTRANGE(""https://docs.google.com/spreadsheets/d/1xsp01RMmkav9iTy39Zaj_7tE9677EGlOJ14KU9TZn7I/"",""2003-2017!H3697"")"),55.9377026999999)</f>
        <v>55.937702699999903</v>
      </c>
      <c r="E430" s="87">
        <f ca="1">IFERROR(__xludf.DUMMYFUNCTION("C424*IMPORTRANGE(""https://docs.google.com/spreadsheets/d/1xsp01RMmkav9iTy39Zaj_7tE9677EGlOJ14KU9TZn7I/"",""2003-2017!T3697"")"),47.50343235)</f>
        <v>47.503432349999997</v>
      </c>
      <c r="F430" s="87">
        <f ca="1">IFERROR(__xludf.DUMMYFUNCTION("C424*IMPORTRANGE(""https://docs.google.com/spreadsheets/d/1xsp01RMmkav9iTy39Zaj_7tE9677EGlOJ14KU9TZn7I/"",""2003-2017!AC3697"")"),6877.4625929295)</f>
        <v>6877.4625929294998</v>
      </c>
      <c r="G430" s="64" t="s">
        <v>8</v>
      </c>
      <c r="K430" s="18"/>
      <c r="L430" s="2"/>
      <c r="M430" s="11"/>
      <c r="N430" s="11"/>
      <c r="O430" s="11"/>
      <c r="P430" s="11"/>
      <c r="Q430" s="1"/>
    </row>
    <row r="431" spans="1:17" ht="13.2" x14ac:dyDescent="0.25">
      <c r="A431" s="88" t="s">
        <v>392</v>
      </c>
      <c r="B431" s="89">
        <v>450</v>
      </c>
      <c r="C431" s="84">
        <f>33930.3/1000</f>
        <v>33.930300000000003</v>
      </c>
      <c r="D431" s="90">
        <f ca="1">IFERROR(__xludf.DUMMYFUNCTION("C425*IMPORTRANGE(""https://docs.google.com/spreadsheets/d/1xsp01RMmkav9iTy39Zaj_7tE9677EGlOJ14KU9TZn7I/"",""2003-2017!H3720"")"),30.2717654025)</f>
        <v>30.271765402500002</v>
      </c>
      <c r="E431" s="90">
        <f ca="1">IFERROR(__xludf.DUMMYFUNCTION("C425*IMPORTRANGE(""https://docs.google.com/spreadsheets/d/1xsp01RMmkav9iTy39Zaj_7tE9677EGlOJ14KU9TZn7I/"",""2003-2017!T3720"")"),26.598640776)</f>
        <v>26.598640776</v>
      </c>
      <c r="F431" s="90">
        <f ca="1">IFERROR(__xludf.DUMMYFUNCTION("C425*IMPORTRANGE(""https://docs.google.com/spreadsheets/d/1xsp01RMmkav9iTy39Zaj_7tE9677EGlOJ14KU9TZn7I/"",""2003-2017!AC3720"")"),3764.66866072575)</f>
        <v>3764.6686607257502</v>
      </c>
      <c r="G431" s="69" t="s">
        <v>8</v>
      </c>
      <c r="K431" s="18"/>
      <c r="L431" s="2"/>
      <c r="M431" s="11"/>
      <c r="N431" s="11"/>
      <c r="O431" s="11"/>
      <c r="P431" s="11"/>
      <c r="Q431" s="1"/>
    </row>
    <row r="432" spans="1:17" ht="13.2" x14ac:dyDescent="0.25">
      <c r="A432" s="85" t="s">
        <v>393</v>
      </c>
      <c r="B432" s="86">
        <v>438</v>
      </c>
      <c r="C432" s="78">
        <f>42381.8/1000</f>
        <v>42.381800000000005</v>
      </c>
      <c r="D432" s="87">
        <f ca="1">IFERROR(__xludf.DUMMYFUNCTION("C426*IMPORTRANGE(""https://docs.google.com/spreadsheets/d/1xsp01RMmkav9iTy39Zaj_7tE9677EGlOJ14KU9TZn7I/"",""2003-2017!H3742"")"),36.934467246)</f>
        <v>36.934467245999997</v>
      </c>
      <c r="E432" s="87">
        <f ca="1">IFERROR(__xludf.DUMMYFUNCTION("C426*IMPORTRANGE(""https://docs.google.com/spreadsheets/d/1xsp01RMmkav9iTy39Zaj_7tE9677EGlOJ14KU9TZn7I/"",""2003-2017!T3742"")"),32.574863389)</f>
        <v>32.574863389000001</v>
      </c>
      <c r="F432" s="87">
        <f ca="1">IFERROR(__xludf.DUMMYFUNCTION("C426*IMPORTRANGE(""https://docs.google.com/spreadsheets/d/1xsp01RMmkav9iTy39Zaj_7tE9677EGlOJ14KU9TZn7I/"",""2003-2017!AC3742"")"),4760.7264878636)</f>
        <v>4760.7264878635997</v>
      </c>
      <c r="G432" s="64" t="s">
        <v>8</v>
      </c>
      <c r="K432" s="18"/>
      <c r="L432" s="2"/>
      <c r="M432" s="11"/>
      <c r="N432" s="11"/>
      <c r="O432" s="11"/>
      <c r="P432" s="11"/>
      <c r="Q432" s="1"/>
    </row>
    <row r="433" spans="1:17" ht="13.2" x14ac:dyDescent="0.25">
      <c r="A433" s="88" t="s">
        <v>394</v>
      </c>
      <c r="B433" s="89">
        <v>415</v>
      </c>
      <c r="C433" s="84">
        <f>22231.6/1000</f>
        <v>22.2316</v>
      </c>
      <c r="D433" s="90">
        <f ca="1">IFERROR(__xludf.DUMMYFUNCTION("C427*IMPORTRANGE(""https://docs.google.com/spreadsheets/d/1xsp01RMmkav9iTy39Zaj_7tE9677EGlOJ14KU9TZn7I/"",""2003-2017!H3766"")"),18.83683468)</f>
        <v>18.836834679999999</v>
      </c>
      <c r="E433" s="90">
        <f ca="1">IFERROR(__xludf.DUMMYFUNCTION("C427*IMPORTRANGE(""https://docs.google.com/spreadsheets/d/1xsp01RMmkav9iTy39Zaj_7tE9677EGlOJ14KU9TZn7I/"",""2003-2017!T3766"")"),17.197698812)</f>
        <v>17.197698811999999</v>
      </c>
      <c r="F433" s="90">
        <f ca="1">IFERROR(__xludf.DUMMYFUNCTION("C427*IMPORTRANGE(""https://docs.google.com/spreadsheets/d/1xsp01RMmkav9iTy39Zaj_7tE9677EGlOJ14KU9TZn7I/"",""2003-2017!AC3766"")"),2443.2528844632)</f>
        <v>2443.2528844632002</v>
      </c>
      <c r="G433" s="69" t="s">
        <v>8</v>
      </c>
      <c r="K433" s="18"/>
      <c r="L433" s="2"/>
      <c r="M433" s="11"/>
      <c r="N433" s="11"/>
      <c r="O433" s="11"/>
      <c r="P433" s="11"/>
      <c r="Q433" s="1"/>
    </row>
    <row r="434" spans="1:17" ht="13.2" x14ac:dyDescent="0.25">
      <c r="A434" s="85" t="s">
        <v>395</v>
      </c>
      <c r="B434" s="86">
        <v>403</v>
      </c>
      <c r="C434" s="78">
        <f>44940.1/1000</f>
        <v>44.940100000000001</v>
      </c>
      <c r="D434" s="87">
        <f ca="1">IFERROR(__xludf.DUMMYFUNCTION("C428*IMPORTRANGE(""https://docs.google.com/spreadsheets/d/1xsp01RMmkav9iTy39Zaj_7tE9677EGlOJ14KU9TZn7I/"",""2003-2017!H3788"")"),37.688565464)</f>
        <v>37.688565464</v>
      </c>
      <c r="E434" s="87">
        <f ca="1">IFERROR(__xludf.DUMMYFUNCTION("C428*IMPORTRANGE(""https://docs.google.com/spreadsheets/d/1xsp01RMmkav9iTy39Zaj_7tE9677EGlOJ14KU9TZn7I/"",""2003-2017!T3788"")"),33.540144833)</f>
        <v>33.540144832999999</v>
      </c>
      <c r="F434" s="87">
        <f ca="1">IFERROR(__xludf.DUMMYFUNCTION("C428*IMPORTRANGE(""https://docs.google.com/spreadsheets/d/1xsp01RMmkav9iTy39Zaj_7tE9677EGlOJ14KU9TZn7I/"",""2003-2017!AC3788"")"),4966.5551065599)</f>
        <v>4966.5551065599002</v>
      </c>
      <c r="G434" s="64" t="s">
        <v>8</v>
      </c>
      <c r="K434" s="18"/>
      <c r="L434" s="2"/>
      <c r="M434" s="11"/>
      <c r="N434" s="11"/>
      <c r="O434" s="11"/>
      <c r="P434" s="11"/>
      <c r="Q434" s="1"/>
    </row>
    <row r="435" spans="1:17" ht="13.2" x14ac:dyDescent="0.25">
      <c r="A435" s="88" t="s">
        <v>396</v>
      </c>
      <c r="B435" s="89">
        <v>402</v>
      </c>
      <c r="C435" s="84">
        <f>66681.4/1000</f>
        <v>66.681399999999996</v>
      </c>
      <c r="D435" s="90">
        <f ca="1">IFERROR(__xludf.DUMMYFUNCTION("C429*IMPORTRANGE(""https://docs.google.com/spreadsheets/d/1xsp01RMmkav9iTy39Zaj_7tE9677EGlOJ14KU9TZn7I/"",""2003-2017!H3811"")"),56.706195967)</f>
        <v>56.706195966999999</v>
      </c>
      <c r="E435" s="90">
        <f ca="1">IFERROR(__xludf.DUMMYFUNCTION("C429*IMPORTRANGE(""https://docs.google.com/spreadsheets/d/1xsp01RMmkav9iTy39Zaj_7tE9677EGlOJ14KU9TZn7I/"",""2003-2017!T3811"")"),50.4711516599999)</f>
        <v>50.471151659999897</v>
      </c>
      <c r="F435" s="90">
        <f ca="1">IFERROR(__xludf.DUMMYFUNCTION("C429*IMPORTRANGE(""https://docs.google.com/spreadsheets/d/1xsp01RMmkav9iTy39Zaj_7tE9677EGlOJ14KU9TZn7I/"",""2003-2017!AC3811"")"),7519.79480745929)</f>
        <v>7519.7948074592896</v>
      </c>
      <c r="G435" s="69" t="s">
        <v>8</v>
      </c>
      <c r="K435" s="18"/>
      <c r="L435" s="2"/>
      <c r="M435" s="11"/>
      <c r="N435" s="11"/>
      <c r="O435" s="11"/>
      <c r="P435" s="11"/>
      <c r="Q435" s="1"/>
    </row>
    <row r="436" spans="1:17" ht="13.2" x14ac:dyDescent="0.25">
      <c r="A436" s="85" t="s">
        <v>397</v>
      </c>
      <c r="B436" s="86">
        <v>444</v>
      </c>
      <c r="C436" s="78">
        <f>24279.5/1000</f>
        <v>24.279499999999999</v>
      </c>
      <c r="D436" s="87">
        <f ca="1">IFERROR(__xludf.DUMMYFUNCTION("C430*IMPORTRANGE(""https://docs.google.com/spreadsheets/d/1xsp01RMmkav9iTy39Zaj_7tE9677EGlOJ14KU9TZn7I/"",""2003-2017!H3834"")"),20.69536021)</f>
        <v>20.69536021</v>
      </c>
      <c r="E436" s="87">
        <f ca="1">IFERROR(__xludf.DUMMYFUNCTION("C430*IMPORTRANGE(""https://docs.google.com/spreadsheets/d/1xsp01RMmkav9iTy39Zaj_7tE9677EGlOJ14KU9TZn7I/"",""2003-2017!T3834"")"),18.38977889)</f>
        <v>18.389778889999999</v>
      </c>
      <c r="F436" s="87">
        <f ca="1">IFERROR(__xludf.DUMMYFUNCTION("C430*IMPORTRANGE(""https://docs.google.com/spreadsheets/d/1xsp01RMmkav9iTy39Zaj_7tE9677EGlOJ14KU9TZn7I/"",""2003-2017!AC3834"")"),2752.6883125)</f>
        <v>2752.6883124999999</v>
      </c>
      <c r="G436" s="64" t="s">
        <v>8</v>
      </c>
      <c r="K436" s="18"/>
      <c r="L436" s="2"/>
      <c r="M436" s="11"/>
      <c r="N436" s="11"/>
      <c r="O436" s="11"/>
      <c r="P436" s="11"/>
      <c r="Q436" s="1"/>
    </row>
    <row r="437" spans="1:17" ht="13.2" x14ac:dyDescent="0.25">
      <c r="A437" s="88" t="s">
        <v>398</v>
      </c>
      <c r="B437" s="89">
        <v>534</v>
      </c>
      <c r="C437" s="84">
        <f>51894.1/1000</f>
        <v>51.894100000000002</v>
      </c>
      <c r="D437" s="90">
        <f ca="1">IFERROR(__xludf.DUMMYFUNCTION("C431*IMPORTRANGE(""https://docs.google.com/spreadsheets/d/1xsp01RMmkav9iTy39Zaj_7tE9677EGlOJ14KU9TZn7I/"",""2003-2017!H3856"")"),43.82456745)</f>
        <v>43.824567450000004</v>
      </c>
      <c r="E437" s="90">
        <f ca="1">IFERROR(__xludf.DUMMYFUNCTION("C431*IMPORTRANGE(""https://docs.google.com/spreadsheets/d/1xsp01RMmkav9iTy39Zaj_7tE9677EGlOJ14KU9TZn7I/"",""2003-2017!T3856"")"),38.749843411)</f>
        <v>38.749843411000001</v>
      </c>
      <c r="F437" s="90">
        <f ca="1">IFERROR(__xludf.DUMMYFUNCTION("C431*IMPORTRANGE(""https://docs.google.com/spreadsheets/d/1xsp01RMmkav9iTy39Zaj_7tE9677EGlOJ14KU9TZn7I/"",""2003-2017!AC3856"")"),5863.1512040882)</f>
        <v>5863.1512040881998</v>
      </c>
      <c r="G437" s="69" t="s">
        <v>8</v>
      </c>
      <c r="K437" s="18"/>
      <c r="L437" s="2"/>
      <c r="M437" s="11"/>
      <c r="N437" s="11"/>
      <c r="O437" s="11"/>
      <c r="P437" s="11"/>
      <c r="Q437" s="1"/>
    </row>
    <row r="438" spans="1:17" ht="13.2" x14ac:dyDescent="0.25">
      <c r="A438" s="56">
        <v>2018</v>
      </c>
      <c r="B438" s="57"/>
      <c r="C438" s="60"/>
      <c r="D438" s="60"/>
      <c r="E438" s="60"/>
      <c r="F438" s="60"/>
      <c r="G438" s="59"/>
      <c r="K438" s="18"/>
      <c r="L438" s="2"/>
      <c r="M438" s="11"/>
      <c r="N438" s="11" t="s">
        <v>399</v>
      </c>
      <c r="O438" s="11"/>
      <c r="P438" s="11"/>
      <c r="Q438" s="1"/>
    </row>
    <row r="439" spans="1:17" ht="13.2" x14ac:dyDescent="0.25">
      <c r="A439" s="92">
        <v>43118</v>
      </c>
      <c r="B439" s="86">
        <v>488</v>
      </c>
      <c r="C439" s="78">
        <f>27204.6/1000</f>
        <v>27.204599999999999</v>
      </c>
      <c r="D439" s="87">
        <f ca="1">IFERROR(__xludf.DUMMYFUNCTION("C433*IMPORTRANGE(""https://docs.google.com/spreadsheets/d/1xsp01RMmkav9iTy39Zaj_7tE9677EGlOJ14KU9TZn7I"",""H25"")"),22.312940874)</f>
        <v>22.312940873999999</v>
      </c>
      <c r="E439" s="87">
        <f ca="1">IFERROR(__xludf.DUMMYFUNCTION("C433*IMPORTRANGE(""https://docs.google.com/spreadsheets/d/1xsp01RMmkav9iTy39Zaj_7tE9677EGlOJ14KU9TZn7I/"",""T25"")"),19.715989758)</f>
        <v>19.715989757999999</v>
      </c>
      <c r="F439" s="87">
        <f ca="1">IFERROR(__xludf.DUMMYFUNCTION("C433*IMPORTRANGE(""https://docs.google.com/spreadsheets/d/1xsp01RMmkav9iTy39Zaj_7tE9677EGlOJ14KU9TZn7I"",""AC25"")"),3022.43106)</f>
        <v>3022.4310599999999</v>
      </c>
      <c r="G439" s="64" t="s">
        <v>8</v>
      </c>
      <c r="K439" s="19"/>
      <c r="L439" s="12"/>
      <c r="M439" s="13"/>
      <c r="N439" s="13"/>
      <c r="O439" s="13"/>
      <c r="P439" s="13"/>
      <c r="Q439" s="1"/>
    </row>
    <row r="440" spans="1:17" ht="13.2" x14ac:dyDescent="0.25">
      <c r="A440" s="94">
        <v>44975</v>
      </c>
      <c r="B440" s="89">
        <v>420</v>
      </c>
      <c r="C440" s="84">
        <f>34540.6/1000</f>
        <v>34.540599999999998</v>
      </c>
      <c r="D440" s="90">
        <f ca="1">IFERROR(__xludf.DUMMYFUNCTION("C434*IMPORTRANGE(""https://docs.google.com/spreadsheets/d/1xsp01RMmkav9iTy39Zaj_7tE9677EGlOJ14KU9TZn7I"",""H46"")"),27.980476545)</f>
        <v>27.980476544999998</v>
      </c>
      <c r="E440" s="90">
        <f ca="1">IFERROR(__xludf.DUMMYFUNCTION("C434*IMPORTRANGE(""https://docs.google.com/spreadsheets/d/1xsp01RMmkav9iTy39Zaj_7tE9677EGlOJ14KU9TZn7I"",""T46"")"),24.7379777199999)</f>
        <v>24.7379777199999</v>
      </c>
      <c r="F440" s="90">
        <f ca="1">IFERROR(__xludf.DUMMYFUNCTION("C434*IMPORTRANGE(""https://docs.google.com/spreadsheets/d/1xsp01RMmkav9iTy39Zaj_7tE9677EGlOJ14KU9TZn7I"",""AC46"")"),3718.62372569999)</f>
        <v>3718.6237256999898</v>
      </c>
      <c r="G440" s="69" t="s">
        <v>8</v>
      </c>
      <c r="I440" s="17"/>
      <c r="K440" s="19"/>
      <c r="L440" s="12"/>
      <c r="M440" s="13"/>
      <c r="N440" s="13"/>
      <c r="O440" s="13"/>
      <c r="P440" s="13"/>
      <c r="Q440" s="1"/>
    </row>
    <row r="441" spans="1:17" ht="13.2" x14ac:dyDescent="0.25">
      <c r="A441" s="92">
        <v>45003</v>
      </c>
      <c r="B441" s="86">
        <v>529</v>
      </c>
      <c r="C441" s="78">
        <f>38024.5/1000</f>
        <v>38.024500000000003</v>
      </c>
      <c r="D441" s="87">
        <f ca="1">IFERROR(__xludf.DUMMYFUNCTION("C435*IMPORTRANGE(""https://docs.google.com/spreadsheets/d/1xsp01RMmkav9iTy39Zaj_7tE9677EGlOJ14KU9TZn7I"",""H69"")"),30.83710901)</f>
        <v>30.837109009999999</v>
      </c>
      <c r="E441" s="87">
        <f ca="1">IFERROR(__xludf.DUMMYFUNCTION("C435*IMPORTRANGE(""https://docs.google.com/spreadsheets/d/1xsp01RMmkav9iTy39Zaj_7tE9677EGlOJ14KU9TZn7I"",""T69"")"),27.24303327)</f>
        <v>27.243033270000002</v>
      </c>
      <c r="F441" s="87">
        <f ca="1">IFERROR(__xludf.DUMMYFUNCTION("C435*IMPORTRANGE(""https://docs.google.com/spreadsheets/d/1xsp01RMmkav9iTy39Zaj_7tE9677EGlOJ14KU9TZn7I"",""AC69"")"),4037.23227525)</f>
        <v>4037.2322752499999</v>
      </c>
      <c r="G441" s="64" t="s">
        <v>8</v>
      </c>
      <c r="K441" s="19"/>
      <c r="L441" s="12"/>
      <c r="M441" s="13"/>
      <c r="N441" s="13"/>
      <c r="O441" s="13"/>
      <c r="P441" s="13"/>
      <c r="Q441" s="1"/>
    </row>
    <row r="442" spans="1:17" ht="13.2" x14ac:dyDescent="0.25">
      <c r="A442" s="94">
        <v>45034</v>
      </c>
      <c r="B442" s="89">
        <v>466</v>
      </c>
      <c r="C442" s="84">
        <f>42703.4/1000</f>
        <v>42.703400000000002</v>
      </c>
      <c r="D442" s="90">
        <f ca="1">IFERROR(__xludf.DUMMYFUNCTION("C436*IMPORTRANGE(""https://docs.google.com/spreadsheets/d/1xsp01RMmkav9iTy39Zaj_7tE9677EGlOJ14KU9TZn7I"",""H91"")"),34.738788866)</f>
        <v>34.738788866</v>
      </c>
      <c r="E442" s="90">
        <f ca="1">IFERROR(__xludf.DUMMYFUNCTION("C436*IMPORTRANGE(""https://docs.google.com/spreadsheets/d/1xsp01RMmkav9iTy39Zaj_7tE9677EGlOJ14KU9TZn7I"",""T91"")"),30.31514366)</f>
        <v>30.31514366</v>
      </c>
      <c r="F442" s="90">
        <f ca="1">IFERROR(__xludf.DUMMYFUNCTION("C436*IMPORTRANGE(""https://docs.google.com/spreadsheets/d/1xsp01RMmkav9iTy39Zaj_7tE9677EGlOJ14KU9TZn7I"",""AC91"")"),4574.0892842)</f>
        <v>4574.0892842000003</v>
      </c>
      <c r="G442" s="69" t="s">
        <v>8</v>
      </c>
      <c r="K442" s="19"/>
      <c r="L442" s="12"/>
      <c r="M442" s="13"/>
      <c r="N442" s="13"/>
      <c r="O442" s="13"/>
      <c r="P442" s="13"/>
      <c r="Q442" s="1"/>
    </row>
    <row r="443" spans="1:17" ht="13.2" x14ac:dyDescent="0.25">
      <c r="A443" s="92">
        <v>45064</v>
      </c>
      <c r="B443" s="86">
        <v>426</v>
      </c>
      <c r="C443" s="78">
        <f>75261.7/1000</f>
        <v>75.26169999999999</v>
      </c>
      <c r="D443" s="87">
        <f ca="1">IFERROR(__xludf.DUMMYFUNCTION("C437*IMPORTRANGE(""https://docs.google.com/spreadsheets/d/1xsp01RMmkav9iTy39Zaj_7tE9677EGlOJ14KU9TZn7I/"",""H115"")"),63.6683877319999)</f>
        <v>63.6683877319999</v>
      </c>
      <c r="E443" s="87">
        <f ca="1">IFERROR(__xludf.DUMMYFUNCTION("C437*IMPORTRANGE(""https://docs.google.com/spreadsheets/d/1xsp01RMmkav9iTy39Zaj_7tE9677EGlOJ14KU9TZn7I"",""T115"")"),55.6530166819999)</f>
        <v>55.653016681999901</v>
      </c>
      <c r="F443" s="87">
        <f ca="1">IFERROR(__xludf.DUMMYFUNCTION("C437*IMPORTRANGE(""https://docs.google.com/spreadsheets/d/1xsp01RMmkav9iTy39Zaj_7tE9677EGlOJ14KU9TZn7I"",""AC115"")"),8250.4133391)</f>
        <v>8250.4133390999996</v>
      </c>
      <c r="G443" s="64" t="s">
        <v>8</v>
      </c>
      <c r="K443" s="19"/>
      <c r="L443" s="12"/>
      <c r="M443" s="13"/>
      <c r="N443" s="13"/>
      <c r="O443" s="13"/>
      <c r="P443" s="13"/>
      <c r="Q443" s="1"/>
    </row>
    <row r="444" spans="1:17" ht="13.2" x14ac:dyDescent="0.25">
      <c r="A444" s="94">
        <v>45095</v>
      </c>
      <c r="B444" s="89">
        <v>422</v>
      </c>
      <c r="C444" s="84">
        <f>14581.2/1000</f>
        <v>14.581200000000001</v>
      </c>
      <c r="D444" s="90">
        <f ca="1">IFERROR(__xludf.DUMMYFUNCTION("C438*IMPORTRANGE(""https://docs.google.com/spreadsheets/d/1xsp01RMmkav9iTy39Zaj_7tE9677EGlOJ14KU9TZn7I/"",""H137"")"),12.4960884)</f>
        <v>12.4960884</v>
      </c>
      <c r="E444" s="90">
        <f ca="1">IFERROR(__xludf.DUMMYFUNCTION("C438*IMPORTRANGE(""https://docs.google.com/spreadsheets/d/1xsp01RMmkav9iTy39Zaj_7tE9677EGlOJ14KU9TZn7I"",""T137"")"),10.98110172)</f>
        <v>10.98110172</v>
      </c>
      <c r="F444" s="90">
        <f ca="1">IFERROR(__xludf.DUMMYFUNCTION("C438*IMPORTRANGE(""https://docs.google.com/spreadsheets/d/1xsp01RMmkav9iTy39Zaj_7tE9677EGlOJ14KU9TZn7I"",""AC137"")"),1605.3463764)</f>
        <v>1605.3463764000001</v>
      </c>
      <c r="G444" s="69" t="s">
        <v>8</v>
      </c>
      <c r="K444" s="19"/>
      <c r="L444" s="12"/>
      <c r="M444" s="13"/>
      <c r="N444" s="13"/>
      <c r="O444" s="13"/>
      <c r="P444" s="13"/>
      <c r="Q444" s="1"/>
    </row>
    <row r="445" spans="1:17" ht="13.2" x14ac:dyDescent="0.25">
      <c r="A445" s="92">
        <v>45125</v>
      </c>
      <c r="B445" s="86">
        <v>381</v>
      </c>
      <c r="C445" s="78">
        <f>47685.3/1000</f>
        <v>47.685300000000005</v>
      </c>
      <c r="D445" s="87">
        <f ca="1">IFERROR(__xludf.DUMMYFUNCTION("C439*IMPORTRANGE(""https://docs.google.com/spreadsheets/d/1xsp01RMmkav9iTy39Zaj_7tE9677EGlOJ14KU9TZn7I/)"",""H160"")"),40.830538125)</f>
        <v>40.830538124999997</v>
      </c>
      <c r="E445" s="87">
        <f ca="1">IFERROR(__xludf.DUMMYFUNCTION("C439*IMPORTRANGE(""https://docs.google.com/spreadsheets/d/1xsp01RMmkav9iTy39Zaj_7tE9677EGlOJ14KU9TZn7I"",""T160"")"),36.15976299)</f>
        <v>36.159762989999997</v>
      </c>
      <c r="F445" s="87">
        <f ca="1">IFERROR(__xludf.DUMMYFUNCTION("C439*IMPORTRANGE(""https://docs.google.com/spreadsheets/d/1xsp01RMmkav9iTy39Zaj_7tE9677EGlOJ14KU9TZn7I"",""AC160"")"),5294.18890455)</f>
        <v>5294.1889045500002</v>
      </c>
      <c r="G445" s="64" t="s">
        <v>8</v>
      </c>
      <c r="K445" s="19"/>
      <c r="L445" s="12"/>
      <c r="M445" s="13"/>
      <c r="N445" s="13"/>
      <c r="O445" s="13"/>
      <c r="P445" s="13"/>
      <c r="Q445" s="1"/>
    </row>
    <row r="446" spans="1:17" ht="13.2" x14ac:dyDescent="0.25">
      <c r="A446" s="94">
        <v>45156</v>
      </c>
      <c r="B446" s="89">
        <v>452</v>
      </c>
      <c r="C446" s="84">
        <f>25261.7/1000</f>
        <v>25.261700000000001</v>
      </c>
      <c r="D446" s="90">
        <f ca="1">IFERROR(__xludf.DUMMYFUNCTION("C440*IMPORTRANGE(""https://docs.google.com/spreadsheets/d/1xsp01RMmkav9iTy39Zaj_7tE9677EGlOJ14KU9TZn7I/"",""H184"")"),21.82105646)</f>
        <v>21.821056460000001</v>
      </c>
      <c r="E446" s="90">
        <f ca="1">IFERROR(__xludf.DUMMYFUNCTION("C440*IMPORTRANGE(""https://docs.google.com/spreadsheets/d/1xsp01RMmkav9iTy39Zaj_7tE9677EGlOJ14KU9TZn7I"", ""T184"")"),19.61065771)</f>
        <v>19.610657710000002</v>
      </c>
      <c r="F446" s="90">
        <f ca="1">IFERROR(__xludf.DUMMYFUNCTION("C440*IMPORTRANGE(""https://docs.google.com/spreadsheets/d/1xsp01RMmkav9iTy39Zaj_7tE9677EGlOJ14KU9TZn7I"",""AC184"")"),2807.5095529)</f>
        <v>2807.5095529</v>
      </c>
      <c r="G446" s="69" t="s">
        <v>8</v>
      </c>
      <c r="K446" s="19"/>
      <c r="L446" s="12"/>
      <c r="M446" s="13"/>
      <c r="N446" s="13"/>
      <c r="O446" s="13"/>
      <c r="P446" s="13"/>
      <c r="Q446" s="1"/>
    </row>
    <row r="447" spans="1:17" ht="13.2" x14ac:dyDescent="0.25">
      <c r="A447" s="92">
        <v>45187</v>
      </c>
      <c r="B447" s="86">
        <v>401</v>
      </c>
      <c r="C447" s="78">
        <f>13063.8/1000</f>
        <v>13.063799999999999</v>
      </c>
      <c r="D447" s="87">
        <f ca="1">IFERROR(__xludf.DUMMYFUNCTION("C441*IMPORTRANGE(""https://docs.google.com/spreadsheets/d/1xsp01RMmkav9iTy39Zaj_7tE9677EGlOJ14KU9TZn7I/|"",""H205"")"),11.226768444)</f>
        <v>11.226768443999999</v>
      </c>
      <c r="E447" s="87">
        <f ca="1">IFERROR(__xludf.DUMMYFUNCTION("C441*IMPORTRANGE(""https://docs.google.com/spreadsheets/d/1xsp01RMmkav9iTy39Zaj_7tE9677EGlOJ14KU9TZn7I"", ""T205"")"),9.99067168799999)</f>
        <v>9.9906716879999902</v>
      </c>
      <c r="F447" s="87">
        <f ca="1">IFERROR(__xludf.DUMMYFUNCTION("C441*IMPORTRANGE(""https://docs.google.com/spreadsheets/d/1xsp01RMmkav9iTy39Zaj_7tE9677EGlOJ14KU9TZn7I"",""AC205"")"),1460.81371169999)</f>
        <v>1460.8137116999901</v>
      </c>
      <c r="G447" s="64" t="s">
        <v>8</v>
      </c>
      <c r="K447" s="19"/>
      <c r="L447" s="12"/>
      <c r="M447" s="13"/>
      <c r="N447" s="13"/>
      <c r="O447" s="13"/>
      <c r="P447" s="13"/>
      <c r="Q447" s="1"/>
    </row>
    <row r="448" spans="1:17" ht="13.2" x14ac:dyDescent="0.25">
      <c r="A448" s="94">
        <v>45217</v>
      </c>
      <c r="B448" s="89">
        <v>457</v>
      </c>
      <c r="C448" s="84">
        <f>54447.2/1000</f>
        <v>54.447199999999995</v>
      </c>
      <c r="D448" s="90">
        <f ca="1">IFERROR(__xludf.DUMMYFUNCTION("C442*IMPORTRANGE(""https://docs.google.com/spreadsheets/d/1xsp01RMmkav9iTy39Zaj_7tE9677EGlOJ14KU9TZn7I/"",""H229"")"),47.3167946879999)</f>
        <v>47.316794687999902</v>
      </c>
      <c r="E448" s="90">
        <f ca="1">IFERROR(__xludf.DUMMYFUNCTION("C442*IMPORTRANGE(""https://docs.google.com/spreadsheets/d/1xsp01RMmkav9iTy39Zaj_7tE9677EGlOJ14KU9TZn7I"",""T229"")"),41.7365011599999)</f>
        <v>41.736501159999897</v>
      </c>
      <c r="F448" s="90">
        <f ca="1">IFERROR(__xludf.DUMMYFUNCTION("C442*IMPORTRANGE(""https://docs.google.com/spreadsheets/d/1xsp01RMmkav9iTy39Zaj_7tE9677EGlOJ14KU9TZn7I"",""AC229"")"),6124.22105599999)</f>
        <v>6124.2210559999903</v>
      </c>
      <c r="G448" s="69" t="s">
        <v>8</v>
      </c>
      <c r="K448" s="19"/>
      <c r="L448" s="12"/>
      <c r="M448" s="13"/>
      <c r="N448" s="13"/>
      <c r="O448" s="13"/>
      <c r="P448" s="13"/>
      <c r="Q448" s="1"/>
    </row>
    <row r="449" spans="1:17" ht="13.2" x14ac:dyDescent="0.25">
      <c r="A449" s="92">
        <v>45248</v>
      </c>
      <c r="B449" s="86">
        <v>429</v>
      </c>
      <c r="C449" s="78">
        <f>35865.8/1000</f>
        <v>35.8658</v>
      </c>
      <c r="D449" s="87">
        <f ca="1">IFERROR(__xludf.DUMMYFUNCTION("C443*IMPORTRANGE(""https://docs.google.com/spreadsheets/d/1xsp01RMmkav9iTy39Zaj_7tE9677EGlOJ14KU9TZn7I/"",""H252"")"),31.5428951259999)</f>
        <v>31.542895125999902</v>
      </c>
      <c r="E449" s="87">
        <f ca="1">IFERROR(__xludf.DUMMYFUNCTION("C443*IMPORTRANGE(""https://docs.google.com/spreadsheets/d/1xsp01RMmkav9iTy39Zaj_7tE9677EGlOJ14KU9TZn7I"", ""T252"")"),27.891936015)</f>
        <v>27.891936014999999</v>
      </c>
      <c r="F449" s="87">
        <f ca="1">IFERROR(__xludf.DUMMYFUNCTION("C443*IMPORTRANGE(""https://docs.google.com/spreadsheets/d/1xsp01RMmkav9iTy39Zaj_7tE9677EGlOJ14KU9TZn7I"",""AC252"")"),4066.7154646)</f>
        <v>4066.7154645999999</v>
      </c>
      <c r="G449" s="64" t="s">
        <v>8</v>
      </c>
      <c r="K449" s="19"/>
      <c r="L449" s="12"/>
      <c r="M449" s="13"/>
      <c r="N449" s="13"/>
      <c r="O449" s="13"/>
      <c r="P449" s="13"/>
      <c r="Q449" s="1"/>
    </row>
    <row r="450" spans="1:17" ht="13.2" x14ac:dyDescent="0.25">
      <c r="A450" s="94">
        <v>45278</v>
      </c>
      <c r="B450" s="89">
        <v>491</v>
      </c>
      <c r="C450" s="84">
        <f>29351.6/1000</f>
        <v>29.351599999999998</v>
      </c>
      <c r="D450" s="90">
        <f ca="1">IFERROR(__xludf.DUMMYFUNCTION("C444*IMPORTRANGE(""https://docs.google.com/spreadsheets/d/1xsp01RMmkav9iTy39Zaj_7tE9677EGlOJ14KU9TZn7I/"",""H273"")"),25.808568364)</f>
        <v>25.808568363999999</v>
      </c>
      <c r="E450" s="90">
        <f ca="1">IFERROR(__xludf.DUMMYFUNCTION("C444*IMPORTRANGE(""https://docs.google.com/spreadsheets/d/1xsp01RMmkav9iTy39Zaj_7tE9677EGlOJ14KU9TZn7I"", ""T273"")"),23.1936343199999)</f>
        <v>23.193634319999902</v>
      </c>
      <c r="F450" s="90">
        <f ca="1">IFERROR(__xludf.DUMMYFUNCTION("C444*IMPORTRANGE(""https://docs.google.com/spreadsheets/d/1xsp01RMmkav9iTy39Zaj_7tE9677EGlOJ14KU9TZn7I"",""AC273"")"),3307.60245239999)</f>
        <v>3307.6024523999899</v>
      </c>
      <c r="G450" s="69" t="s">
        <v>8</v>
      </c>
      <c r="K450" s="19"/>
      <c r="L450" s="12"/>
      <c r="M450" s="13"/>
      <c r="N450" s="13"/>
      <c r="O450" s="13"/>
      <c r="P450" s="13"/>
      <c r="Q450" s="1"/>
    </row>
    <row r="451" spans="1:17" ht="13.2" x14ac:dyDescent="0.25">
      <c r="A451" s="56">
        <v>2019</v>
      </c>
      <c r="B451" s="57"/>
      <c r="C451" s="60"/>
      <c r="D451" s="60"/>
      <c r="E451" s="60"/>
      <c r="F451" s="60"/>
      <c r="G451" s="59"/>
      <c r="K451" s="18"/>
      <c r="L451" s="2"/>
      <c r="M451" s="1"/>
      <c r="N451" s="11"/>
      <c r="O451" s="11"/>
      <c r="P451" s="11"/>
      <c r="Q451" s="1"/>
    </row>
    <row r="452" spans="1:17" ht="13.2" x14ac:dyDescent="0.25">
      <c r="A452" s="92">
        <v>43484</v>
      </c>
      <c r="B452" s="86">
        <v>481</v>
      </c>
      <c r="C452" s="78">
        <f>35513.7/1000</f>
        <v>35.5137</v>
      </c>
      <c r="D452" s="87">
        <f ca="1">IFERROR(__xludf.DUMMYFUNCTION("C446*IMPORTRANGE(""https://docs.google.com/spreadsheets/d/1xsp01RMmkav9iTy39Zaj_7tE9677EGlOJ14KU9TZn7I/"",""H298"")"),31.10644983)</f>
        <v>31.106449829999999</v>
      </c>
      <c r="E452" s="87">
        <f ca="1">IFERROR(__xludf.DUMMYFUNCTION("C446*IMPORTRANGE(""https://docs.google.com/spreadsheets/d/1xsp01RMmkav9iTy39Zaj_7tE9677EGlOJ14KU9TZn7I"",""T298"")"),27.5895281189999)</f>
        <v>27.589528118999901</v>
      </c>
      <c r="F452" s="87">
        <f ca="1">IFERROR(__xludf.DUMMYFUNCTION("C446*IMPORTRANGE(""https://docs.google.com/spreadsheets/d/1xsp01RMmkav9iTy39Zaj_7tE9677EGlOJ14KU9TZn7I"",""AC298"")"),3872.3073069)</f>
        <v>3872.3073069000002</v>
      </c>
      <c r="G452" s="64" t="s">
        <v>8</v>
      </c>
    </row>
    <row r="453" spans="1:17" ht="13.2" x14ac:dyDescent="0.25">
      <c r="A453" s="94">
        <v>43515</v>
      </c>
      <c r="B453" s="89">
        <v>373</v>
      </c>
      <c r="C453" s="84">
        <f>17536.8/1000</f>
        <v>17.536799999999999</v>
      </c>
      <c r="D453" s="90">
        <f ca="1">IFERROR(__xludf.DUMMYFUNCTION("C447*IMPORTRANGE(""https://docs.google.com/spreadsheets/d/1xsp01RMmkav9iTy39Zaj_7tE9677EGlOJ14KU9TZn7I"",""H319"")"),15.46044288)</f>
        <v>15.46044288</v>
      </c>
      <c r="E453" s="90">
        <f ca="1">IFERROR(__xludf.DUMMYFUNCTION("C447*IMPORTRANGE(""https://docs.google.com/spreadsheets/d/1xsp01RMmkav9iTy39Zaj_7tE9677EGlOJ14KU9TZn7I"",""T319"")"),13.4960582279999)</f>
        <v>13.4960582279999</v>
      </c>
      <c r="F453" s="90">
        <f ca="1">IFERROR(__xludf.DUMMYFUNCTION("C447*IMPORTRANGE(""https://docs.google.com/spreadsheets/d/1xsp01RMmkav9iTy39Zaj_7tE9677EGlOJ14KU9TZn7I"",""AC319"")"),1938.64062959999)</f>
        <v>1938.64062959999</v>
      </c>
      <c r="G453" s="69" t="s">
        <v>8</v>
      </c>
    </row>
    <row r="454" spans="1:17" ht="13.2" x14ac:dyDescent="0.25">
      <c r="A454" s="92">
        <v>43543</v>
      </c>
      <c r="B454" s="86">
        <v>409</v>
      </c>
      <c r="C454" s="78">
        <f>120885.8/1000</f>
        <v>120.8858</v>
      </c>
      <c r="D454" s="87">
        <f ca="1">IFERROR(__xludf.DUMMYFUNCTION("C448*IMPORTRANGE(""https://docs.google.com/spreadsheets/d/1xsp01RMmkav9iTy39Zaj_7tE9677EGlOJ14KU9TZn7I"",""H341"")"),106.846123188)</f>
        <v>106.84612318800001</v>
      </c>
      <c r="E454" s="87">
        <f ca="1">IFERROR(__xludf.DUMMYFUNCTION("C448*IMPORTRANGE(""https://docs.google.com/spreadsheets/d/1xsp01RMmkav9iTy39Zaj_7tE9677EGlOJ14KU9TZn7I"",""T341"")"),91.53472776)</f>
        <v>91.534727759999996</v>
      </c>
      <c r="F454" s="87">
        <f ca="1">IFERROR(__xludf.DUMMYFUNCTION("C448*IMPORTRANGE(""https://docs.google.com/spreadsheets/d/1xsp01RMmkav9iTy39Zaj_7tE9677EGlOJ14KU9TZn7I"",""AC341"")"),13459.6667436)</f>
        <v>13459.666743600001</v>
      </c>
      <c r="G454" s="64" t="s">
        <v>8</v>
      </c>
    </row>
    <row r="455" spans="1:17" ht="13.2" x14ac:dyDescent="0.25">
      <c r="A455" s="94">
        <v>43574</v>
      </c>
      <c r="B455" s="89">
        <v>448</v>
      </c>
      <c r="C455" s="84">
        <f>33528.8/1000</f>
        <v>33.528800000000004</v>
      </c>
      <c r="D455" s="90">
        <f ca="1">IFERROR(__xludf.DUMMYFUNCTION("C449*IMPORTRANGE(""https://docs.google.com/spreadsheets/d/1xsp01RMmkav9iTy39Zaj_7tE9677EGlOJ14KU9TZn7I"",""H364"")"),29.829232208)</f>
        <v>29.829232208000001</v>
      </c>
      <c r="E455" s="90">
        <f ca="1">IFERROR(__xludf.DUMMYFUNCTION("C449*IMPORTRANGE(""https://docs.google.com/spreadsheets/d/1xsp01RMmkav9iTy39Zaj_7tE9677EGlOJ14KU9TZn7I"",""T364"")"),25.706698604)</f>
        <v>25.706698604</v>
      </c>
      <c r="F455" s="90">
        <f ca="1">IFERROR(__xludf.DUMMYFUNCTION("C449*IMPORTRANGE(""https://docs.google.com/spreadsheets/d/1xsp01RMmkav9iTy39Zaj_7tE9677EGlOJ14KU9TZn7I"",""AC364"")"),3744.077274)</f>
        <v>3744.0772740000002</v>
      </c>
      <c r="G455" s="69" t="s">
        <v>8</v>
      </c>
    </row>
    <row r="456" spans="1:17" ht="13.2" x14ac:dyDescent="0.25">
      <c r="A456" s="93">
        <v>43604</v>
      </c>
      <c r="B456" s="86">
        <v>376</v>
      </c>
      <c r="C456" s="78">
        <f>24486.4/1000</f>
        <v>24.4864</v>
      </c>
      <c r="D456" s="87">
        <f ca="1">IFERROR(__xludf.DUMMYFUNCTION("C450*IMPORTRANGE(""https://docs.google.com/spreadsheets/d/1xsp01RMmkav9iTy39Zaj_7tE9677EGlOJ14KU9TZn7I"",""H388"")"),21.877618944)</f>
        <v>21.877618944000002</v>
      </c>
      <c r="E456" s="87">
        <f ca="1">IFERROR(__xludf.DUMMYFUNCTION("C450*IMPORTRANGE(""https://docs.google.com/spreadsheets/d/1xsp01RMmkav9iTy39Zaj_7tE9677EGlOJ14KU9TZn7I"",""T388"")"),19.015648512)</f>
        <v>19.015648511999999</v>
      </c>
      <c r="F456" s="87">
        <f ca="1">IFERROR(__xludf.DUMMYFUNCTION("C450*IMPORTRANGE(""https://docs.google.com/spreadsheets/d/1xsp01RMmkav9iTy39Zaj_7tE9677EGlOJ14KU9TZn7I"",""AC388"")"),2689.5616896)</f>
        <v>2689.5616896000001</v>
      </c>
      <c r="G456" s="64" t="s">
        <v>8</v>
      </c>
    </row>
    <row r="457" spans="1:17" ht="13.2" x14ac:dyDescent="0.25">
      <c r="A457" s="94">
        <v>43635</v>
      </c>
      <c r="B457" s="89">
        <v>369</v>
      </c>
      <c r="C457" s="84">
        <f>118486.5/1000</f>
        <v>118.48650000000001</v>
      </c>
      <c r="D457" s="90">
        <f ca="1">IFERROR(__xludf.DUMMYFUNCTION("C451*IMPORTRANGE(""https://docs.google.com/spreadsheets/d/1xsp01RMmkav9iTy39Zaj_7tE9677EGlOJ14KU9TZn7I"",""H409"")"),104.9665979175)</f>
        <v>104.9665979175</v>
      </c>
      <c r="E457" s="90">
        <f ca="1">IFERROR(__xludf.DUMMYFUNCTION("C451*IMPORTRANGE(""https://docs.google.com/spreadsheets/d/1xsp01RMmkav9iTy39Zaj_7tE9677EGlOJ14KU9TZn7I"",""T409"")"),93.3632149725)</f>
        <v>93.363214972500003</v>
      </c>
      <c r="F457" s="90">
        <f ca="1">IFERROR(__xludf.DUMMYFUNCTION("C451*IMPORTRANGE(""https://docs.google.com/spreadsheets/d/1xsp01RMmkav9iTy39Zaj_7tE9677EGlOJ14KU9TZn7I"",""AC409"")"),12830.60686875)</f>
        <v>12830.606868749999</v>
      </c>
      <c r="G457" s="69" t="s">
        <v>8</v>
      </c>
    </row>
    <row r="458" spans="1:17" ht="13.2" x14ac:dyDescent="0.25">
      <c r="A458" s="92">
        <v>43665</v>
      </c>
      <c r="B458" s="86">
        <v>427</v>
      </c>
      <c r="C458" s="78">
        <f>14623.6/1000</f>
        <v>14.6236</v>
      </c>
      <c r="D458" s="87">
        <f ca="1">IFERROR(__xludf.DUMMYFUNCTION("C452*IMPORTRANGE(""https://docs.google.com/spreadsheets/d/1xsp01RMmkav9iTy39Zaj_7tE9677EGlOJ14KU9TZn7I"",""H433"")"),13.024948048)</f>
        <v>13.024948048000001</v>
      </c>
      <c r="E458" s="87">
        <f ca="1">IFERROR(__xludf.DUMMYFUNCTION("C452*IMPORTRANGE(""https://docs.google.com/spreadsheets/d/1xsp01RMmkav9iTy39Zaj_7tE9677EGlOJ14KU9TZn7I"",""T433"")"),11.686888648)</f>
        <v>11.686888648</v>
      </c>
      <c r="F458" s="87">
        <f ca="1">IFERROR(__xludf.DUMMYFUNCTION("C452*IMPORTRANGE(""https://docs.google.com/spreadsheets/d/1xsp01RMmkav9iTy39Zaj_7tE9677EGlOJ14KU9TZn7I"",""AC433"")"),1582.7414752)</f>
        <v>1582.7414752</v>
      </c>
      <c r="G458" s="64" t="s">
        <v>8</v>
      </c>
    </row>
    <row r="459" spans="1:17" ht="13.2" x14ac:dyDescent="0.25">
      <c r="A459" s="94">
        <v>43696</v>
      </c>
      <c r="B459" s="89">
        <v>375</v>
      </c>
      <c r="C459" s="84">
        <f>31791.1/1000</f>
        <v>31.7911</v>
      </c>
      <c r="D459" s="90">
        <f ca="1">IFERROR(__xludf.DUMMYFUNCTION("C453*IMPORTRANGE(""https://docs.google.com/spreadsheets/d/1xsp01RMmkav9iTy39Zaj_7tE9677EGlOJ14KU9TZn7I"",""H456"")"),28.6255012175)</f>
        <v>28.625501217499998</v>
      </c>
      <c r="E459" s="90">
        <f ca="1">IFERROR(__xludf.DUMMYFUNCTION("C453*IMPORTRANGE(""https://docs.google.com/spreadsheets/d/1xsp01RMmkav9iTy39Zaj_7tE9677EGlOJ14KU9TZn7I"",""T456"")"),26.1591476795)</f>
        <v>26.159147679499998</v>
      </c>
      <c r="F459" s="90">
        <f ca="1">IFERROR(__xludf.DUMMYFUNCTION("C453*IMPORTRANGE(""https://docs.google.com/spreadsheets/d/1xsp01RMmkav9iTy39Zaj_7tE9677EGlOJ14KU9TZn7I"",""AC456"")"),3376.13534225)</f>
        <v>3376.1353422500001</v>
      </c>
      <c r="G459" s="69" t="s">
        <v>8</v>
      </c>
    </row>
    <row r="460" spans="1:17" ht="13.2" x14ac:dyDescent="0.25">
      <c r="A460" s="92">
        <v>43727</v>
      </c>
      <c r="B460" s="86">
        <v>364</v>
      </c>
      <c r="C460" s="78">
        <f>22869.8/1000</f>
        <v>22.869799999999998</v>
      </c>
      <c r="D460" s="87">
        <f ca="1">IFERROR(__xludf.DUMMYFUNCTION("C454*IMPORTRANGE(""https://docs.google.com/spreadsheets/d/1xsp01RMmkav9iTy39Zaj_7tE9677EGlOJ14KU9TZn7I"",""H478"")"),20.754800896)</f>
        <v>20.754800895999999</v>
      </c>
      <c r="E460" s="87">
        <f ca="1">IFERROR(__xludf.DUMMYFUNCTION("C454*IMPORTRANGE(""https://docs.google.com/spreadsheets/d/1xsp01RMmkav9iTy39Zaj_7tE9677EGlOJ14KU9TZn7I"",""T478"")"),18.5249953959999)</f>
        <v>18.524995395999898</v>
      </c>
      <c r="F460" s="87">
        <f ca="1">IFERROR(__xludf.DUMMYFUNCTION("C454*IMPORTRANGE(""https://docs.google.com/spreadsheets/d/1xsp01RMmkav9iTy39Zaj_7tE9677EGlOJ14KU9TZn7I"",""AC478"")"),2461.97970959999)</f>
        <v>2461.9797095999902</v>
      </c>
      <c r="G460" s="64" t="s">
        <v>8</v>
      </c>
    </row>
    <row r="461" spans="1:17" ht="13.2" x14ac:dyDescent="0.25">
      <c r="A461" s="94">
        <v>44123</v>
      </c>
      <c r="B461" s="89">
        <v>430</v>
      </c>
      <c r="C461" s="84">
        <f>53580.7/1000</f>
        <v>53.5807</v>
      </c>
      <c r="D461" s="90">
        <f ca="1">IFERROR(__xludf.DUMMYFUNCTION("C455*IMPORTRANGE("" https://docs.google.com/spreadsheets/d/1xsp01RMmkav9iTy39Zaj_7tE9677EGlOJ14KU9TZn7I"", ""H502"")"),48.556437761)</f>
        <v>48.556437760999998</v>
      </c>
      <c r="E461" s="90">
        <f ca="1">IFERROR(__xludf.DUMMYFUNCTION("C455*IMPORTRANGE(""https://docs.google.com/spreadsheets/d/1xsp01RMmkav9iTy39Zaj_7tE9677EGlOJ14KU9TZn7I"",""T502"")"),41.989051362)</f>
        <v>41.989051361999998</v>
      </c>
      <c r="F461" s="90">
        <f ca="1">IFERROR(__xludf.DUMMYFUNCTION("C455*IMPORTRANGE(""https://docs.google.com/spreadsheets/d/1xsp01RMmkav9iTy39Zaj_7tE9677EGlOJ14KU9TZn7I"",""AC502"")"),5811.3091413)</f>
        <v>5811.3091413000002</v>
      </c>
      <c r="G461" s="69" t="s">
        <v>8</v>
      </c>
    </row>
    <row r="462" spans="1:17" ht="13.2" x14ac:dyDescent="0.25">
      <c r="A462" s="92">
        <v>43788</v>
      </c>
      <c r="B462" s="86">
        <v>435</v>
      </c>
      <c r="C462" s="78">
        <f>40591.8/1000</f>
        <v>40.591800000000006</v>
      </c>
      <c r="D462" s="87">
        <f ca="1">IFERROR(__xludf.DUMMYFUNCTION("C456*IMPORTRANGE(""https://docs.google.com/spreadsheets/d/1xsp01RMmkav9iTy39Zaj_7tE9677EGlOJ14KU9TZn7I"",""H524"")"),36.783071406)</f>
        <v>36.783071405999998</v>
      </c>
      <c r="E462" s="87">
        <f ca="1">IFERROR(__xludf.DUMMYFUNCTION("C456*IMPORTRANGE(""https://docs.google.com/spreadsheets/d/1xsp01RMmkav9iTy39Zaj_7tE9677EGlOJ14KU9TZn7I"",""T524"")"),31.48705926)</f>
        <v>31.487059259999999</v>
      </c>
      <c r="F462" s="87">
        <f ca="1">IFERROR(__xludf.DUMMYFUNCTION("C456*IMPORTRANGE(""https://docs.google.com/spreadsheets/d/1xsp01RMmkav9iTy39Zaj_7tE9677EGlOJ14KU9TZn7I"",""AC524"")"),4416.3066564)</f>
        <v>4416.3066564000001</v>
      </c>
      <c r="G462" s="64" t="s">
        <v>8</v>
      </c>
    </row>
    <row r="463" spans="1:17" ht="13.2" x14ac:dyDescent="0.25">
      <c r="A463" s="94">
        <v>43818</v>
      </c>
      <c r="B463" s="89">
        <v>476</v>
      </c>
      <c r="C463" s="84">
        <f>28874.3/1000</f>
        <v>28.874299999999998</v>
      </c>
      <c r="D463" s="90">
        <f ca="1">IFERROR(__xludf.DUMMYFUNCTION("C457*IMPORTRANGE(""https://docs.google.com/spreadsheets/d/1xsp01RMmkav9iTy39Zaj_7tE9677EGlOJ14KU9TZn7I"",""H547"")"),26.0168992719999)</f>
        <v>26.0168992719999</v>
      </c>
      <c r="E463" s="90">
        <f ca="1">IFERROR(__xludf.DUMMYFUNCTION("C457*IMPORTRANGE(""https://docs.google.com/spreadsheets/d/1xsp01RMmkav9iTy39Zaj_7tE9677EGlOJ14KU9TZn7I"",""T547"")"),22.0387425894999)</f>
        <v>22.038742589499901</v>
      </c>
      <c r="F463" s="90">
        <f ca="1">IFERROR(__xludf.DUMMYFUNCTION("C457*IMPORTRANGE(""https://docs.google.com/spreadsheets/d/1xsp01RMmkav9iTy39Zaj_7tE9677EGlOJ14KU9TZn7I"",""AC547"")"),3158.34311974999)</f>
        <v>3158.3431197499899</v>
      </c>
      <c r="G463" s="69" t="s">
        <v>8</v>
      </c>
    </row>
    <row r="464" spans="1:17" ht="13.2" x14ac:dyDescent="0.25">
      <c r="A464" s="56">
        <v>2020</v>
      </c>
      <c r="B464" s="57"/>
      <c r="C464" s="60"/>
      <c r="D464" s="60"/>
      <c r="E464" s="60"/>
      <c r="F464" s="60"/>
      <c r="G464" s="59"/>
    </row>
    <row r="465" spans="1:7" ht="13.2" x14ac:dyDescent="0.25">
      <c r="A465" s="92">
        <v>43850</v>
      </c>
      <c r="B465" s="86">
        <v>446</v>
      </c>
      <c r="C465" s="78">
        <f>21384/1000</f>
        <v>21.384</v>
      </c>
      <c r="D465" s="87">
        <f ca="1">IFERROR(__xludf.DUMMYFUNCTION("C459*IMPORTRANGE(""https://docs.google.com/spreadsheets/d/1xsp01RMmkav9iTy39Zaj_7tE9677EGlOJ14KU9TZn7I"",""H572"")"),19.24196472)</f>
        <v>19.241964719999999</v>
      </c>
      <c r="E465" s="87">
        <f ca="1">IFERROR(__xludf.DUMMYFUNCTION("C459*IMPORTRANGE(""https://docs.google.com/spreadsheets/d/1xsp01RMmkav9iTy39Zaj_7tE9677EGlOJ14KU9TZn7I"",""T572"")"),16.3608984)</f>
        <v>16.3608984</v>
      </c>
      <c r="F465" s="87">
        <f ca="1">IFERROR(__xludf.DUMMYFUNCTION("C459*IMPORTRANGE(""https://docs.google.com/spreadsheets/d/1xsp01RMmkav9iTy39Zaj_7tE9677EGlOJ14KU9TZn7I"",""AC572"")"),2333.678688)</f>
        <v>2333.678688</v>
      </c>
      <c r="G465" s="64" t="s">
        <v>8</v>
      </c>
    </row>
    <row r="466" spans="1:7" ht="13.2" x14ac:dyDescent="0.25">
      <c r="A466" s="94">
        <v>43881</v>
      </c>
      <c r="B466" s="89">
        <v>323</v>
      </c>
      <c r="C466" s="84">
        <f>22053.2/1000</f>
        <v>22.0532</v>
      </c>
      <c r="D466" s="90">
        <f ca="1">IFERROR(__xludf.DUMMYFUNCTION("C460*IMPORTRANGE(""https://docs.google.com/spreadsheets/d/1xsp01RMmkav9iTy39Zaj_7tE9677EGlOJ14KU9TZn7I"",""H593"")"),20.262149362)</f>
        <v>20.262149361999999</v>
      </c>
      <c r="E466" s="90">
        <f ca="1">IFERROR(__xludf.DUMMYFUNCTION("C460*IMPORTRANGE(""https://docs.google.com/spreadsheets/d/1xsp01RMmkav9iTy39Zaj_7tE9677EGlOJ14KU9TZn7I"",""T593"")"),17.020218696)</f>
        <v>17.020218696000001</v>
      </c>
      <c r="F466" s="90">
        <f ca="1">IFERROR(__xludf.DUMMYFUNCTION("C460*IMPORTRANGE(""https://docs.google.com/spreadsheets/d/1xsp01RMmkav9iTy39Zaj_7tE9677EGlOJ14KU9TZn7I"",""AC593"")"),2422.2463018)</f>
        <v>2422.2463017999999</v>
      </c>
      <c r="G466" s="69" t="s">
        <v>8</v>
      </c>
    </row>
    <row r="467" spans="1:7" ht="13.2" x14ac:dyDescent="0.25">
      <c r="A467" s="92">
        <v>43910</v>
      </c>
      <c r="B467" s="86">
        <v>324</v>
      </c>
      <c r="C467" s="78">
        <f>12168/1000</f>
        <v>12.167999999999999</v>
      </c>
      <c r="D467" s="87">
        <f ca="1">IFERROR(__xludf.DUMMYFUNCTION("C461*IMPORTRANGE(""https://docs.google.com/spreadsheets/d/1xsp01RMmkav9iTy39Zaj_7tE9677EGlOJ14KU9TZn7I"",""H616"")"),10.9237003199999)</f>
        <v>10.923700319999901</v>
      </c>
      <c r="E467" s="87">
        <f ca="1">IFERROR(__xludf.DUMMYFUNCTION("C461*IMPORTRANGE(""https://docs.google.com/spreadsheets/d/1xsp01RMmkav9iTy39Zaj_7tE9677EGlOJ14KU9TZn7I"",""T616"")"),9.79200331199999)</f>
        <v>9.7920033119999896</v>
      </c>
      <c r="F467" s="87">
        <f ca="1">IFERROR(__xludf.DUMMYFUNCTION("C461*IMPORTRANGE(""https://docs.google.com/spreadsheets/d/1xsp01RMmkav9iTy39Zaj_7tE9677EGlOJ14KU9TZn7I"",""AC616"")"),1308.60756)</f>
        <v>1308.6075599999999</v>
      </c>
      <c r="G467" s="64" t="s">
        <v>8</v>
      </c>
    </row>
    <row r="468" spans="1:7" ht="13.2" x14ac:dyDescent="0.25">
      <c r="A468" s="94">
        <v>43941</v>
      </c>
      <c r="B468" s="89">
        <v>247</v>
      </c>
      <c r="C468" s="84">
        <f>10706.8/1000</f>
        <v>10.706799999999999</v>
      </c>
      <c r="D468" s="90">
        <f ca="1">IFERROR(__xludf.DUMMYFUNCTION("C462*IMPORTRANGE(""https://docs.google.com/spreadsheets/d/1xsp01RMmkav9iTy39Zaj_7tE9677EGlOJ14KU9TZn7I"",""H639"")"),9.85507406)</f>
        <v>9.8550740599999997</v>
      </c>
      <c r="E468" s="90">
        <f ca="1">IFERROR(__xludf.DUMMYFUNCTION("C462*IMPORTRANGE(""https://docs.google.com/spreadsheets/d/1xsp01RMmkav9iTy39Zaj_7tE9677EGlOJ14KU9TZn7I"",""T639"")"),8.623684992)</f>
        <v>8.6236849919999994</v>
      </c>
      <c r="F468" s="90">
        <f ca="1">IFERROR(__xludf.DUMMYFUNCTION("C462*IMPORTRANGE(""https://docs.google.com/spreadsheets/d/1xsp01RMmkav9iTy39Zaj_7tE9677EGlOJ14KU9TZn7I"",""AC639"")"),1152.7958026)</f>
        <v>1152.7958025999999</v>
      </c>
      <c r="G468" s="69" t="s">
        <v>8</v>
      </c>
    </row>
    <row r="469" spans="1:7" ht="13.2" x14ac:dyDescent="0.25">
      <c r="A469" s="93">
        <v>43971</v>
      </c>
      <c r="B469" s="86">
        <v>230</v>
      </c>
      <c r="C469" s="78">
        <f>10408.1/1000</f>
        <v>10.408100000000001</v>
      </c>
      <c r="D469" s="87">
        <f ca="1">IFERROR(__xludf.DUMMYFUNCTION("C463*IMPORTRANGE(""https://docs.google.com/spreadsheets/d/1xsp01RMmkav9iTy39Zaj_7tE9677EGlOJ14KU9TZn7I"",""H661"")"),9.544956267)</f>
        <v>9.5449562669999999</v>
      </c>
      <c r="E469" s="87">
        <f ca="1">IFERROR(__xludf.DUMMYFUNCTION("C463*IMPORTRANGE(""https://docs.google.com/spreadsheets/d/1xsp01RMmkav9iTy39Zaj_7tE9677EGlOJ14KU9TZn7I"",""T661"")"),8.486140254)</f>
        <v>8.4861402540000004</v>
      </c>
      <c r="F469" s="87">
        <f ca="1">IFERROR(__xludf.DUMMYFUNCTION("C463*IMPORTRANGE(""https://docs.google.com/spreadsheets/d/1xsp01RMmkav9iTy39Zaj_7tE9677EGlOJ14KU9TZn7I"",""AC661"")"),1117.4656565)</f>
        <v>1117.4656565</v>
      </c>
      <c r="G469" s="64" t="s">
        <v>8</v>
      </c>
    </row>
    <row r="470" spans="1:7" ht="13.2" x14ac:dyDescent="0.25">
      <c r="A470" s="94">
        <v>44002</v>
      </c>
      <c r="B470" s="89">
        <v>319</v>
      </c>
      <c r="C470" s="84">
        <f>32693.5/1000</f>
        <v>32.6935</v>
      </c>
      <c r="D470" s="90">
        <f ca="1">IFERROR(__xludf.DUMMYFUNCTION("C464*IMPORTRANGE(""https://docs.google.com/spreadsheets/d/1xsp01RMmkav9iTy39Zaj_7tE9677EGlOJ14KU9TZn7I"",""H684"")"),29.0571654625)</f>
        <v>29.057165462499999</v>
      </c>
      <c r="E470" s="90">
        <f ca="1">IFERROR(__xludf.DUMMYFUNCTION("C464*IMPORTRANGE(""https://docs.google.com/spreadsheets/d/1xsp01RMmkav9iTy39Zaj_7tE9677EGlOJ14KU9TZn7I"",""T684"")"),26.0738835875)</f>
        <v>26.073883587499999</v>
      </c>
      <c r="F470" s="90">
        <f ca="1">IFERROR(__xludf.DUMMYFUNCTION("C464*IMPORTRANGE(""https://docs.google.com/spreadsheets/d/1xsp01RMmkav9iTy39Zaj_7tE9677EGlOJ14KU9TZn7I"",""AC684"")"),3509.99050675)</f>
        <v>3509.9905067499999</v>
      </c>
      <c r="G470" s="69" t="s">
        <v>8</v>
      </c>
    </row>
    <row r="471" spans="1:7" ht="13.2" x14ac:dyDescent="0.25">
      <c r="A471" s="92">
        <v>44397</v>
      </c>
      <c r="B471" s="86">
        <v>363</v>
      </c>
      <c r="C471" s="78">
        <f>48050.9/1000</f>
        <v>48.050899999999999</v>
      </c>
      <c r="D471" s="87">
        <f ca="1">IFERROR(__xludf.DUMMYFUNCTION("C465*IMPORTRANGE(""https://docs.google.com/spreadsheets/d/1xsp01RMmkav9iTy39Zaj_7tE9677EGlOJ14KU9TZn7I"",""H708"")"),42.110367233)</f>
        <v>42.110367232999998</v>
      </c>
      <c r="E471" s="87">
        <f ca="1">IFERROR(__xludf.DUMMYFUNCTION("C465*IMPORTRANGE(""https://docs.google.com/spreadsheets/d/1xsp01RMmkav9iTy39Zaj_7tE9677EGlOJ14KU9TZn7I"",""T708"")"),38.120220497)</f>
        <v>38.120220496999998</v>
      </c>
      <c r="F471" s="87">
        <f ca="1">IFERROR(__xludf.DUMMYFUNCTION("C465*IMPORTRANGE(""https://docs.google.com/spreadsheets/d/1xsp01RMmkav9iTy39Zaj_7tE9677EGlOJ14KU9TZn7I"",""AC708"")"),5150.8642764)</f>
        <v>5150.8642763999997</v>
      </c>
      <c r="G471" s="64" t="s">
        <v>8</v>
      </c>
    </row>
    <row r="472" spans="1:7" ht="13.2" x14ac:dyDescent="0.25">
      <c r="A472" s="94">
        <v>44428</v>
      </c>
      <c r="B472" s="89">
        <v>345</v>
      </c>
      <c r="C472" s="84">
        <f>55426.8/1000</f>
        <v>55.4268</v>
      </c>
      <c r="D472" s="90">
        <f ca="1">IFERROR(__xludf.DUMMYFUNCTION("C466*IMPORTRANGE(""https://docs.google.com/spreadsheets/d/1xsp01RMmkav9iTy39Zaj_7tE9677EGlOJ14KU9TZn7I"",""H730"")"),46.89384414)</f>
        <v>46.893844139999999</v>
      </c>
      <c r="E472" s="90">
        <f ca="1">IFERROR(__xludf.DUMMYFUNCTION("C466*IMPORTRANGE(""https://docs.google.com/spreadsheets/d/1xsp01RMmkav9iTy39Zaj_7tE9677EGlOJ14KU9TZn7I"",""T730"")"),42.2879324868)</f>
        <v>42.287932486800003</v>
      </c>
      <c r="F472" s="90">
        <f ca="1">IFERROR(__xludf.DUMMYFUNCTION("C466*IMPORTRANGE(""https://docs.google.com/spreadsheets/d/1xsp01RMmkav9iTy39Zaj_7tE9677EGlOJ14KU9TZn7I"",""AC730"")"),5874.7973856)</f>
        <v>5874.7973855999999</v>
      </c>
      <c r="G472" s="69" t="s">
        <v>8</v>
      </c>
    </row>
    <row r="473" spans="1:7" ht="13.2" x14ac:dyDescent="0.25">
      <c r="A473" s="65" t="s">
        <v>400</v>
      </c>
      <c r="B473" s="86">
        <v>397</v>
      </c>
      <c r="C473" s="78">
        <f>19992.4/1000</f>
        <v>19.9924</v>
      </c>
      <c r="D473" s="87">
        <f ca="1">IFERROR(__xludf.DUMMYFUNCTION("C467*IMPORTRANGE(""https://docs.google.com/spreadsheets/d/1xsp01RMmkav9iTy39Zaj_7tE9677EGlOJ14KU9TZn7I"",""H753"")"),16.909671882)</f>
        <v>16.909671882000001</v>
      </c>
      <c r="E473" s="87">
        <f ca="1">IFERROR(__xludf.DUMMYFUNCTION("C467*IMPORTRANGE(""https://docs.google.com/spreadsheets/d/1xsp01RMmkav9iTy39Zaj_7tE9677EGlOJ14KU9TZn7I"",""T753"")"),15.487512508)</f>
        <v>15.487512508</v>
      </c>
      <c r="F473" s="87">
        <f ca="1">IFERROR(__xludf.DUMMYFUNCTION("C467*IMPORTRANGE(""https://docs.google.com/spreadsheets/d/1xsp01RMmkav9iTy39Zaj_7tE9677EGlOJ14KU9TZn7I"",""AC753"")"),2112.9867598)</f>
        <v>2112.9867598000001</v>
      </c>
      <c r="G473" s="64" t="s">
        <v>8</v>
      </c>
    </row>
    <row r="474" spans="1:7" ht="13.2" x14ac:dyDescent="0.25">
      <c r="A474" s="94">
        <v>44489</v>
      </c>
      <c r="B474" s="89">
        <v>366</v>
      </c>
      <c r="C474" s="84">
        <f>89752.8/1000</f>
        <v>89.752800000000008</v>
      </c>
      <c r="D474" s="90">
        <f ca="1">IFERROR(__xludf.DUMMYFUNCTION("C468*IMPORTRANGE(""https://docs.google.com/spreadsheets/d/1xsp01RMmkav9iTy39Zaj_7tE9677EGlOJ14KU9TZn7I"",""H776"")"),76.2734552376)</f>
        <v>76.273455237600004</v>
      </c>
      <c r="E474" s="90">
        <f ca="1">IFERROR(__xludf.DUMMYFUNCTION("C468*IMPORTRANGE(""https://docs.google.com/spreadsheets/d/1xsp01RMmkav9iTy39Zaj_7tE9677EGlOJ14KU9TZn7I"",""T776"")"),69.299931936)</f>
        <v>69.299931935999993</v>
      </c>
      <c r="F474" s="90">
        <f ca="1">IFERROR(__xludf.DUMMYFUNCTION("C468*IMPORTRANGE(""https://docs.google.com/spreadsheets/d/1xsp01RMmkav9iTy39Zaj_7tE9677EGlOJ14KU9TZn7I"",""AC776"")"),9463.4454792)</f>
        <v>9463.4454791999997</v>
      </c>
      <c r="G474" s="69" t="s">
        <v>8</v>
      </c>
    </row>
    <row r="475" spans="1:7" ht="13.2" x14ac:dyDescent="0.25">
      <c r="A475" s="92">
        <v>44520</v>
      </c>
      <c r="B475" s="86">
        <v>413</v>
      </c>
      <c r="C475" s="78">
        <f>64225/1000</f>
        <v>64.224999999999994</v>
      </c>
      <c r="D475" s="87">
        <f ca="1">IFERROR(__xludf.DUMMYFUNCTION("C469*IMPORTRANGE(""https://docs.google.com/spreadsheets/d/1xsp01RMmkav9iTy39Zaj_7tE9677EGlOJ14KU9TZn7I"",""H798"")"),54.2200294999999)</f>
        <v>54.220029499999903</v>
      </c>
      <c r="E475" s="87">
        <f ca="1">IFERROR(__xludf.DUMMYFUNCTION("C469*IMPORTRANGE(""https://docs.google.com/spreadsheets/d/1xsp01RMmkav9iTy39Zaj_7tE9677EGlOJ14KU9TZn7I"",""T798"")"),48.56630275)</f>
        <v>48.566302749999998</v>
      </c>
      <c r="F475" s="87">
        <f ca="1">IFERROR(__xludf.DUMMYFUNCTION("C469*IMPORTRANGE(""https://docs.google.com/spreadsheets/d/1xsp01RMmkav9iTy39Zaj_7tE9677EGlOJ14KU9TZn7I"",""AC798"")"),6712.347425)</f>
        <v>6712.3474249999999</v>
      </c>
      <c r="G475" s="64" t="s">
        <v>8</v>
      </c>
    </row>
    <row r="476" spans="1:7" ht="13.2" x14ac:dyDescent="0.25">
      <c r="A476" s="94">
        <v>44550</v>
      </c>
      <c r="B476" s="89">
        <v>569</v>
      </c>
      <c r="C476" s="84">
        <f>47603.1/1000</f>
        <v>47.603099999999998</v>
      </c>
      <c r="D476" s="90">
        <f ca="1">IFERROR(__xludf.DUMMYFUNCTION("C470*IMPORTRANGE(""https://docs.google.com/spreadsheets/d/1xsp01RMmkav9iTy39Zaj_7tE9677EGlOJ14KU9TZn7I"",""H822"")"),39.1656409374)</f>
        <v>39.165640937399999</v>
      </c>
      <c r="E476" s="90">
        <f ca="1">IFERROR(__xludf.DUMMYFUNCTION("C470*IMPORTRANGE(""https://docs.google.com/spreadsheets/d/1xsp01RMmkav9iTy39Zaj_7tE9677EGlOJ14KU9TZn7I"",""T822"")"),35.464785531)</f>
        <v>35.464785530999997</v>
      </c>
      <c r="F476" s="90">
        <f ca="1">IFERROR(__xludf.DUMMYFUNCTION("C470*IMPORTRANGE(""https://docs.google.com/spreadsheets/d/1xsp01RMmkav9iTy39Zaj_7tE9677EGlOJ14KU9TZn7I"",""AC822"")"),4935.9178359)</f>
        <v>4935.9178358999998</v>
      </c>
      <c r="G476" s="69" t="s">
        <v>8</v>
      </c>
    </row>
    <row r="477" spans="1:7" ht="13.2" x14ac:dyDescent="0.25">
      <c r="A477" s="56">
        <v>2021</v>
      </c>
      <c r="B477" s="57"/>
      <c r="C477" s="60"/>
      <c r="D477" s="60"/>
      <c r="E477" s="60"/>
      <c r="F477" s="60"/>
      <c r="G477" s="59"/>
    </row>
    <row r="478" spans="1:7" ht="13.2" x14ac:dyDescent="0.25">
      <c r="A478" s="92">
        <v>44947</v>
      </c>
      <c r="B478" s="86">
        <v>449</v>
      </c>
      <c r="C478" s="78">
        <f>56728.6/1000</f>
        <v>56.7286</v>
      </c>
      <c r="D478" s="87">
        <f ca="1">IFERROR(__xludf.DUMMYFUNCTION("C472*IMPORTRANGE(""https://docs.google.com/spreadsheets/d/1xsp01RMmkav9iTy39Zaj_7tE9677EGlOJ14KU9TZn7I"",""H845"")"),46.6403261476)</f>
        <v>46.6403261476</v>
      </c>
      <c r="E478" s="87">
        <f ca="1">IFERROR(__xludf.DUMMYFUNCTION("C472*IMPORTRANGE(""https://docs.google.com/spreadsheets/d/1xsp01RMmkav9iTy39Zaj_7tE9677EGlOJ14KU9TZn7I"",""T845"")"),41.503211046)</f>
        <v>41.503211045999997</v>
      </c>
      <c r="F478" s="87">
        <f ca="1">IFERROR(__xludf.DUMMYFUNCTION("C472*IMPORTRANGE(""https://docs.google.com/spreadsheets/d/1xsp01RMmkav9iTy39Zaj_7tE9677EGlOJ14KU9TZn7I"",""AC845"")"),5886.159536)</f>
        <v>5886.1595360000001</v>
      </c>
      <c r="G478" s="64" t="s">
        <v>8</v>
      </c>
    </row>
    <row r="479" spans="1:7" ht="13.2" x14ac:dyDescent="0.25">
      <c r="A479" s="94">
        <v>44978</v>
      </c>
      <c r="B479" s="89">
        <v>380</v>
      </c>
      <c r="C479" s="84">
        <f>37244.7/1000</f>
        <v>37.244699999999995</v>
      </c>
      <c r="D479" s="90">
        <f ca="1">IFERROR(__xludf.DUMMYFUNCTION("C473*IMPORTRANGE(""https://docs.google.com/spreadsheets/d/1xsp01RMmkav9iTy39Zaj_7tE9677EGlOJ14KU9TZn7I"",""H866"")"),30.7284417773999)</f>
        <v>30.728441777399901</v>
      </c>
      <c r="E479" s="90">
        <f ca="1">IFERROR(__xludf.DUMMYFUNCTION("C473*IMPORTRANGE(""https://docs.google.com/spreadsheets/d/1xsp01RMmkav9iTy39Zaj_7tE9677EGlOJ14KU9TZn7I"",""T866"")"),26.8925356349999)</f>
        <v>26.892535634999899</v>
      </c>
      <c r="F479" s="90">
        <f ca="1">IFERROR(__xludf.DUMMYFUNCTION("C473*IMPORTRANGE(""https://docs.google.com/spreadsheets/d/1xsp01RMmkav9iTy39Zaj_7tE9677EGlOJ14KU9TZn7I"",""AC866"")"),3919.87431854999)</f>
        <v>3919.8743185499902</v>
      </c>
      <c r="G479" s="69" t="s">
        <v>8</v>
      </c>
    </row>
    <row r="480" spans="1:7" ht="13.2" x14ac:dyDescent="0.25">
      <c r="A480" s="92">
        <v>45006</v>
      </c>
      <c r="B480" s="86">
        <v>454</v>
      </c>
      <c r="C480" s="78">
        <f>31917/1000</f>
        <v>31.917000000000002</v>
      </c>
      <c r="D480" s="87">
        <f ca="1">IFERROR(__xludf.DUMMYFUNCTION("C474*IMPORTRANGE(""https://docs.google.com/spreadsheets/d/1xsp01RMmkav9iTy39Zaj_7tE9677EGlOJ14KU9TZn7I"",""H890"")"),26.76336201)</f>
        <v>26.763362010000002</v>
      </c>
      <c r="E480" s="87">
        <f ca="1">IFERROR(__xludf.DUMMYFUNCTION("C474*IMPORTRANGE(""https://docs.google.com/spreadsheets/d/1xsp01RMmkav9iTy39Zaj_7tE9677EGlOJ14KU9TZn7I"",""T890"")"),22.97162241)</f>
        <v>22.971622409999998</v>
      </c>
      <c r="F480" s="87">
        <f ca="1">IFERROR(__xludf.DUMMYFUNCTION("C474*IMPORTRANGE(""https://docs.google.com/spreadsheets/d/1xsp01RMmkav9iTy39Zaj_7tE9677EGlOJ14KU9TZn7I"",""AC890"")"),3472.25043)</f>
        <v>3472.2504300000001</v>
      </c>
      <c r="G480" s="64" t="s">
        <v>8</v>
      </c>
    </row>
    <row r="481" spans="1:11" ht="13.2" x14ac:dyDescent="0.25">
      <c r="A481" s="94">
        <v>45037</v>
      </c>
      <c r="B481" s="89">
        <v>473</v>
      </c>
      <c r="C481" s="84">
        <f>34920.4/1000</f>
        <v>34.920400000000001</v>
      </c>
      <c r="D481" s="90">
        <f ca="1">IFERROR(__xludf.DUMMYFUNCTION("C475*IMPORTRANGE(""https://docs.google.com/spreadsheets/d/1xsp01RMmkav9iTy39Zaj_7tE9677EGlOJ14KU9TZn7I"",""H913"")"),29.171803752)</f>
        <v>29.171803751999999</v>
      </c>
      <c r="E481" s="90">
        <f ca="1">IFERROR(__xludf.DUMMYFUNCTION("C475*IMPORTRANGE(""https://docs.google.com/spreadsheets/d/1xsp01RMmkav9iTy39Zaj_7tE9677EGlOJ14KU9TZn7I"",""T913"")"),25.24395716)</f>
        <v>25.243957160000001</v>
      </c>
      <c r="F481" s="90">
        <f ca="1">IFERROR(__xludf.DUMMYFUNCTION("C475*IMPORTRANGE(""https://docs.google.com/spreadsheets/d/1xsp01RMmkav9iTy39Zaj_7tE9677EGlOJ14KU9TZn7I"",""AC913"")"),3802.7966396)</f>
        <v>3802.7966396000002</v>
      </c>
      <c r="G481" s="69" t="s">
        <v>8</v>
      </c>
    </row>
    <row r="482" spans="1:11" ht="13.2" x14ac:dyDescent="0.25">
      <c r="A482" s="92">
        <v>45067</v>
      </c>
      <c r="B482" s="86">
        <v>411</v>
      </c>
      <c r="C482" s="78">
        <f>25417.5/1000</f>
        <v>25.4175</v>
      </c>
      <c r="D482" s="87">
        <f ca="1">IFERROR(__xludf.DUMMYFUNCTION("C476*IMPORTRANGE(""https://docs.google.com/spreadsheets/d/1xsp01RMmkav9iTy39Zaj_7tE9677EGlOJ14KU9TZn7I"",""H935"")"),20.90792715)</f>
        <v>20.907927149999999</v>
      </c>
      <c r="E482" s="87">
        <f ca="1">IFERROR(__xludf.DUMMYFUNCTION("C476*IMPORTRANGE(""https://docs.google.com/spreadsheets/d/1xsp01RMmkav9iTy39Zaj_7tE9677EGlOJ14KU9TZn7I"",""t935"")"),18.006011175)</f>
        <v>18.006011175000001</v>
      </c>
      <c r="F482" s="87">
        <f ca="1">IFERROR(__xludf.DUMMYFUNCTION("C476*IMPORTRANGE(""https://docs.google.com/spreadsheets/d/1xsp01RMmkav9iTy39Zaj_7tE9677EGlOJ14KU9TZn7I"",""AC935"")"),2774.828475)</f>
        <v>2774.8284749999998</v>
      </c>
      <c r="G482" s="64" t="s">
        <v>8</v>
      </c>
    </row>
    <row r="483" spans="1:11" ht="13.2" x14ac:dyDescent="0.25">
      <c r="A483" s="94">
        <v>45098</v>
      </c>
      <c r="B483" s="89">
        <v>482</v>
      </c>
      <c r="C483" s="84">
        <f>26153.3/1000</f>
        <v>26.153299999999998</v>
      </c>
      <c r="D483" s="90">
        <f ca="1">IFERROR(__xludf.DUMMYFUNCTION("C477*IMPORTRANGE(""https://docs.google.com/spreadsheets/d/1xsp01RMmkav9iTy39Zaj_7tE9677EGlOJ14KU9TZn7I"",""H958"")"),21.5853646219999)</f>
        <v>21.585364621999901</v>
      </c>
      <c r="E483" s="90">
        <f ca="1">IFERROR(__xludf.DUMMYFUNCTION("C477*IMPORTRANGE(""https://docs.google.com/spreadsheets/d/1xsp01RMmkav9iTy39Zaj_7tE9677EGlOJ14KU9TZn7I"",""t958"")"),18.5540663855)</f>
        <v>18.554066385500001</v>
      </c>
      <c r="F483" s="90">
        <f ca="1">IFERROR(__xludf.DUMMYFUNCTION("C477*IMPORTRANGE(""https://docs.google.com/spreadsheets/d/1xsp01RMmkav9iTy39Zaj_7tE9677EGlOJ14KU9TZn7I"",""AC958"")"),2880.58984524999)</f>
        <v>2880.58984524999</v>
      </c>
      <c r="G483" s="69" t="s">
        <v>8</v>
      </c>
    </row>
    <row r="484" spans="1:11" ht="13.2" x14ac:dyDescent="0.25">
      <c r="A484" s="92">
        <v>45128</v>
      </c>
      <c r="B484" s="86">
        <v>419</v>
      </c>
      <c r="C484" s="78">
        <f>28512.2/1000</f>
        <v>28.5122</v>
      </c>
      <c r="D484" s="87">
        <f ca="1">IFERROR(__xludf.DUMMYFUNCTION("C478*IMPORTRANGE(""https://docs.google.com/spreadsheets/d/1xsp01RMmkav9iTy39Zaj_7tE9677EGlOJ14KU9TZn7I"",""H981"")"),24.11419315)</f>
        <v>24.114193149999998</v>
      </c>
      <c r="E484" s="87">
        <f ca="1">IFERROR(__xludf.DUMMYFUNCTION("C478*IMPORTRANGE(""https://docs.google.com/spreadsheets/d/1xsp01RMmkav9iTy39Zaj_7tE9677EGlOJ14KU9TZn7I"",""t981"")"),20.634706823)</f>
        <v>20.634706822999998</v>
      </c>
      <c r="F484" s="87">
        <f ca="1">IFERROR(__xludf.DUMMYFUNCTION("C478*IMPORTRANGE(""https://docs.google.com/spreadsheets/d/1xsp01RMmkav9iTy39Zaj_7tE9677EGlOJ14KU9TZn7I"",""AC981"")"),3143.042367)</f>
        <v>3143.042367</v>
      </c>
      <c r="G484" s="64" t="s">
        <v>8</v>
      </c>
    </row>
    <row r="485" spans="1:11" ht="13.2" x14ac:dyDescent="0.25">
      <c r="A485" s="94">
        <v>45159</v>
      </c>
      <c r="B485" s="89">
        <v>381</v>
      </c>
      <c r="C485" s="84">
        <f>30576/1000</f>
        <v>30.576000000000001</v>
      </c>
      <c r="D485" s="90">
        <f ca="1">IFERROR(__xludf.DUMMYFUNCTION("C479*IMPORTRANGE(""https://docs.google.com/spreadsheets/d/1xsp01RMmkav9iTy39Zaj_7tE9677EGlOJ14KU9TZn7I"",""H1004"")"),26.01161472)</f>
        <v>26.011614720000001</v>
      </c>
      <c r="E485" s="90">
        <f ca="1">IFERROR(__xludf.DUMMYFUNCTION("C479*IMPORTRANGE(""https://docs.google.com/spreadsheets/d/1xsp01RMmkav9iTy39Zaj_7tE9677EGlOJ14KU9TZn7I"",""t1004"")"),22.11837264)</f>
        <v>22.11837264</v>
      </c>
      <c r="F485" s="90">
        <f ca="1">IFERROR(__xludf.DUMMYFUNCTION("C479*IMPORTRANGE(""https://docs.google.com/spreadsheets/d/1xsp01RMmkav9iTy39Zaj_7tE9677EGlOJ14KU9TZn7I"",""AC1004"")"),3357.367104)</f>
        <v>3357.3671039999999</v>
      </c>
      <c r="G485" s="69" t="s">
        <v>8</v>
      </c>
    </row>
    <row r="486" spans="1:11" ht="13.2" x14ac:dyDescent="0.25">
      <c r="A486" s="92">
        <v>45190</v>
      </c>
      <c r="B486" s="86">
        <v>435</v>
      </c>
      <c r="C486" s="78">
        <f>27149/1000</f>
        <v>27.149000000000001</v>
      </c>
      <c r="D486" s="87">
        <f ca="1">IFERROR(__xludf.DUMMYFUNCTION("C480*IMPORTRANGE(""https://docs.google.com/spreadsheets/d/1xsp01RMmkav9iTy39Zaj_7tE9677EGlOJ14KU9TZn7I"",""H1027"")"),22.99275959)</f>
        <v>22.992759589999999</v>
      </c>
      <c r="E486" s="87">
        <f ca="1">IFERROR(__xludf.DUMMYFUNCTION("C480*IMPORTRANGE(""https://docs.google.com/spreadsheets/d/1xsp01RMmkav9iTy39Zaj_7tE9677EGlOJ14KU9TZn7I"",""t1027"")"),19.716554015)</f>
        <v>19.716554015</v>
      </c>
      <c r="F486" s="87">
        <f ca="1">IFERROR(__xludf.DUMMYFUNCTION("C480*IMPORTRANGE(""https://docs.google.com/spreadsheets/d/1xsp01RMmkav9iTy39Zaj_7tE9677EGlOJ14KU9TZn7I"",""AC1027"")"),2985.249742)</f>
        <v>2985.249742</v>
      </c>
      <c r="G486" s="64" t="s">
        <v>8</v>
      </c>
    </row>
    <row r="487" spans="1:11" ht="13.2" x14ac:dyDescent="0.25">
      <c r="A487" s="94">
        <v>45220</v>
      </c>
      <c r="B487" s="89">
        <v>430</v>
      </c>
      <c r="C487" s="84">
        <f>56201.1/1000</f>
        <v>56.201099999999997</v>
      </c>
      <c r="D487" s="90">
        <f ca="1">IFERROR(__xludf.DUMMYFUNCTION("C481*IMPORTRANGE(""https://docs.google.com/spreadsheets/d/1xsp01RMmkav9iTy39Zaj_7tE9677EGlOJ14KU9TZn7I"",""H1049"")"),48.4509683099999)</f>
        <v>48.450968309999901</v>
      </c>
      <c r="E487" s="90">
        <f ca="1">IFERROR(__xludf.DUMMYFUNCTION("C481*IMPORTRANGE(""https://docs.google.com/spreadsheets/d/1xsp01RMmkav9iTy39Zaj_7tE9677EGlOJ14KU9TZn7I"",""t1049"")"),41.115038727)</f>
        <v>41.115038726999998</v>
      </c>
      <c r="F487" s="90">
        <f ca="1">IFERROR(__xludf.DUMMYFUNCTION("C481*IMPORTRANGE(""https://docs.google.com/spreadsheets/d/1xsp01RMmkav9iTy39Zaj_7tE9677EGlOJ14KU9TZn7I"",""AC1049"")"),6385.3441776)</f>
        <v>6385.3441776</v>
      </c>
      <c r="G487" s="69" t="s">
        <v>8</v>
      </c>
    </row>
    <row r="488" spans="1:11" ht="13.2" x14ac:dyDescent="0.25">
      <c r="A488" s="92">
        <v>45251</v>
      </c>
      <c r="B488" s="86">
        <v>459</v>
      </c>
      <c r="C488" s="78">
        <f>48475.7/1000</f>
        <v>48.475699999999996</v>
      </c>
      <c r="D488" s="87">
        <f ca="1">IFERROR(__xludf.DUMMYFUNCTION("C482*IMPORTRANGE(""https://docs.google.com/spreadsheets/d/1xsp01RMmkav9iTy39Zaj_7tE9677EGlOJ14KU9TZn7I"",""H1072"")"),42.5042208955)</f>
        <v>42.504220895499998</v>
      </c>
      <c r="E488" s="87">
        <f ca="1">IFERROR(__xludf.DUMMYFUNCTION("C482*IMPORTRANGE(""https://docs.google.com/spreadsheets/d/1xsp01RMmkav9iTy39Zaj_7tE9677EGlOJ14KU9TZn7I"",""t1072"")"),36.0962181125)</f>
        <v>36.096218112499997</v>
      </c>
      <c r="F488" s="87">
        <f ca="1">IFERROR(__xludf.DUMMYFUNCTION("C482*IMPORTRANGE(""https://docs.google.com/spreadsheets/d/1xsp01RMmkav9iTy39Zaj_7tE9677EGlOJ14KU9TZn7I"",""AC1072"")"),5530.20480739999)</f>
        <v>5530.2048073999904</v>
      </c>
      <c r="G488" s="64" t="s">
        <v>8</v>
      </c>
    </row>
    <row r="489" spans="1:11" ht="13.2" x14ac:dyDescent="0.25">
      <c r="A489" s="92">
        <v>45281</v>
      </c>
      <c r="B489" s="89">
        <v>586</v>
      </c>
      <c r="C489" s="84">
        <f>35577.4/1000</f>
        <v>35.577400000000004</v>
      </c>
      <c r="D489" s="90">
        <f ca="1">IFERROR(__xludf.DUMMYFUNCTION("C483*IMPORTRANGE(""https://docs.google.com/spreadsheets/d/1xsp01RMmkav9iTy39Zaj_7tE9677EGlOJ14KU9TZn7I"",""H1096"")"),31.451488922)</f>
        <v>31.451488921999999</v>
      </c>
      <c r="E489" s="90">
        <f ca="1">IFERROR(__xludf.DUMMYFUNCTION("C483*IMPORTRANGE(""https://docs.google.com/spreadsheets/d/1xsp01RMmkav9iTy39Zaj_7tE9677EGlOJ14KU9TZn7I"",""t1096"")"),26.81112864)</f>
        <v>26.81112864</v>
      </c>
      <c r="F489" s="90">
        <f ca="1">IFERROR(__xludf.DUMMYFUNCTION("C483*IMPORTRANGE(""https://docs.google.com/spreadsheets/d/1xsp01RMmkav9iTy39Zaj_7tE9677EGlOJ14KU9TZn7I"",""AC1096"")"),4043.8340162)</f>
        <v>4043.8340162</v>
      </c>
      <c r="G489" s="69" t="s">
        <v>8</v>
      </c>
    </row>
    <row r="490" spans="1:11" ht="13.2" x14ac:dyDescent="0.25">
      <c r="A490" s="56">
        <v>2022</v>
      </c>
      <c r="B490" s="57"/>
      <c r="C490" s="60"/>
      <c r="D490" s="60"/>
      <c r="E490" s="60"/>
      <c r="F490" s="60"/>
      <c r="G490" s="59"/>
      <c r="I490" s="109" t="s">
        <v>401</v>
      </c>
      <c r="J490" s="109" t="s">
        <v>1</v>
      </c>
      <c r="K490" s="109" t="s">
        <v>402</v>
      </c>
    </row>
    <row r="491" spans="1:11" ht="13.2" x14ac:dyDescent="0.25">
      <c r="A491" s="92">
        <v>44948</v>
      </c>
      <c r="B491" s="86">
        <v>453</v>
      </c>
      <c r="C491" s="78">
        <f>31333.2/1000</f>
        <v>31.333200000000001</v>
      </c>
      <c r="D491" s="87">
        <f ca="1">IFERROR(__xludf.DUMMYFUNCTION("C485*IMPORTRANGE(""https://docs.google.com/spreadsheets/d/1xsp01RMmkav9iTy39Zaj_7tE9677EGlOJ14KU9TZn7I"",""H1119"")"),27.655935648)</f>
        <v>27.655935648</v>
      </c>
      <c r="E491" s="87">
        <f ca="1">IFERROR(__xludf.DUMMYFUNCTION("C485*IMPORTRANGE(""https://docs.google.com/spreadsheets/d/1xsp01RMmkav9iTy39Zaj_7tE9677EGlOJ14KU9TZn7I"",""T1119"")"),23.114188308)</f>
        <v>23.114188307999999</v>
      </c>
      <c r="F491" s="87">
        <f ca="1">IFERROR(__xludf.DUMMYFUNCTION("C485*IMPORTRANGE(""https://docs.google.com/spreadsheets/d/1xsp01RMmkav9iTy39Zaj_7tE9677EGlOJ14KU9TZn7I"",""AC1119"")"),3594.5760372)</f>
        <v>3594.5760372</v>
      </c>
      <c r="G491" s="64" t="s">
        <v>8</v>
      </c>
      <c r="I491" s="111"/>
      <c r="J491" s="112">
        <f>SUM(B491:B501)</f>
        <v>4182</v>
      </c>
      <c r="K491" s="113">
        <f>SUM(C491:C501)</f>
        <v>415.50350000000003</v>
      </c>
    </row>
    <row r="492" spans="1:11" ht="13.2" x14ac:dyDescent="0.25">
      <c r="A492" s="94">
        <v>44979</v>
      </c>
      <c r="B492" s="89">
        <v>371</v>
      </c>
      <c r="C492" s="84">
        <f>59198.8/1000</f>
        <v>59.198800000000006</v>
      </c>
      <c r="D492" s="90">
        <f ca="1">IFERROR(__xludf.DUMMYFUNCTION("C486*IMPORTRANGE(""https://docs.google.com/spreadsheets/d/1xsp01RMmkav9iTy39Zaj_7tE9677EGlOJ14KU9TZn7I"",""H1140"")"),52.189958074)</f>
        <v>52.189958074000003</v>
      </c>
      <c r="E492" s="90">
        <f ca="1">IFERROR(__xludf.DUMMYFUNCTION("C486*IMPORTRANGE(""https://docs.google.com/spreadsheets/d/1xsp01RMmkav9iTy39Zaj_7tE9677EGlOJ14KU9TZn7I"",""T1140"")"),43.699962172)</f>
        <v>43.699962171999999</v>
      </c>
      <c r="F492" s="90">
        <f ca="1">IFERROR(__xludf.DUMMYFUNCTION("C486*IMPORTRANGE(""https://docs.google.com/spreadsheets/d/1xsp01RMmkav9iTy39Zaj_7tE9677EGlOJ14KU9TZn7I"",""AC1140"")"),6818.073793)</f>
        <v>6818.0737929999996</v>
      </c>
      <c r="G492" s="69" t="s">
        <v>8</v>
      </c>
      <c r="I492" s="14"/>
      <c r="J492" s="20"/>
      <c r="K492" s="21"/>
    </row>
    <row r="493" spans="1:11" ht="13.2" x14ac:dyDescent="0.25">
      <c r="A493" s="92">
        <v>45007</v>
      </c>
      <c r="B493" s="86">
        <v>418</v>
      </c>
      <c r="C493" s="78">
        <f>58782.2/1000</f>
        <v>58.782199999999996</v>
      </c>
      <c r="D493" s="87">
        <f ca="1">IFERROR(__xludf.DUMMYFUNCTION("C487*IMPORTRANGE(""https://docs.google.com/spreadsheets/d/1xsp01RMmkav9iTy39Zaj_7tE9677EGlOJ14KU9TZn7I"",""H1164"")"),53.3548394739999)</f>
        <v>53.354839473999903</v>
      </c>
      <c r="E493" s="87">
        <f ca="1">IFERROR(__xludf.DUMMYFUNCTION("C487*IMPORTRANGE(""https://docs.google.com/spreadsheets/d/1xsp01RMmkav9iTy39Zaj_7tE9677EGlOJ14KU9TZn7I"",""T1164"")"),44.6644790259999)</f>
        <v>44.664479025999903</v>
      </c>
      <c r="F493" s="87">
        <f ca="1">IFERROR(__xludf.DUMMYFUNCTION("C487*IMPORTRANGE(""https://docs.google.com/spreadsheets/d/1xsp01RMmkav9iTy39Zaj_7tE9677EGlOJ14KU9TZn7I"",""AC1164"")"),6953.4640024)</f>
        <v>6953.4640024</v>
      </c>
      <c r="G493" s="64" t="s">
        <v>8</v>
      </c>
      <c r="I493" s="14"/>
      <c r="J493" s="14"/>
      <c r="K493" s="21"/>
    </row>
    <row r="494" spans="1:11" ht="13.2" x14ac:dyDescent="0.25">
      <c r="A494" s="94">
        <v>45038</v>
      </c>
      <c r="B494" s="89">
        <v>362</v>
      </c>
      <c r="C494" s="84">
        <f>86892.8/1000</f>
        <v>86.892800000000008</v>
      </c>
      <c r="D494" s="90">
        <f ca="1">IFERROR(__xludf.DUMMYFUNCTION("C488*IMPORTRANGE(""https://docs.google.com/spreadsheets/d/1xsp01RMmkav9iTy39Zaj_7tE9677EGlOJ14KU9TZn7I"",""H1186"")"),80.195102976)</f>
        <v>80.195102976000001</v>
      </c>
      <c r="E494" s="90">
        <f ca="1">IFERROR(__xludf.DUMMYFUNCTION("C488*IMPORTRANGE(""https://docs.google.com/spreadsheets/d/1xsp01RMmkav9iTy39Zaj_7tE9677EGlOJ14KU9TZn7I"",""T1186"")"),66.675452224)</f>
        <v>66.675452223999997</v>
      </c>
      <c r="F494" s="90">
        <f ca="1">IFERROR(__xludf.DUMMYFUNCTION("C488*IMPORTRANGE(""https://docs.google.com/spreadsheets/d/1xsp01RMmkav9iTy39Zaj_7tE9677EGlOJ14KU9TZn7I"",""AC1186"")"),10964.0466112)</f>
        <v>10964.046611199999</v>
      </c>
      <c r="G494" s="69" t="s">
        <v>8</v>
      </c>
    </row>
    <row r="495" spans="1:11" ht="13.2" x14ac:dyDescent="0.25">
      <c r="A495" s="92">
        <v>45068</v>
      </c>
      <c r="B495" s="86">
        <v>383</v>
      </c>
      <c r="C495" s="78">
        <f>31365.1/1000</f>
        <v>31.365099999999998</v>
      </c>
      <c r="D495" s="87">
        <f ca="1">IFERROR(__xludf.DUMMYFUNCTION("C489*IMPORTRANGE(""https://docs.google.com/spreadsheets/d/1xsp01RMmkav9iTy39Zaj_7tE9677EGlOJ14KU9TZn7I"",""H1209"")"),29.7474449674999)</f>
        <v>29.747444967499899</v>
      </c>
      <c r="E495" s="87">
        <f ca="1">IFERROR(__xludf.DUMMYFUNCTION("C489*IMPORTRANGE(""https://docs.google.com/spreadsheets/d/1xsp01RMmkav9iTy39Zaj_7tE9677EGlOJ14KU9TZn7I"",""T1209"")"),25.1094876305)</f>
        <v>25.109487630499999</v>
      </c>
      <c r="F495" s="87">
        <f ca="1">IFERROR(__xludf.DUMMYFUNCTION("C489*IMPORTRANGE(""https://docs.google.com/spreadsheets/d/1xsp01RMmkav9iTy39Zaj_7tE9677EGlOJ14KU9TZn7I"",""AC1209"")"),4048.3875523)</f>
        <v>4048.3875523000002</v>
      </c>
      <c r="G495" s="64" t="s">
        <v>8</v>
      </c>
    </row>
    <row r="496" spans="1:11" ht="13.2" x14ac:dyDescent="0.25">
      <c r="A496" s="94">
        <v>45099</v>
      </c>
      <c r="B496" s="89">
        <v>363</v>
      </c>
      <c r="C496" s="84">
        <f>22452.9/1000</f>
        <v>22.452900000000003</v>
      </c>
      <c r="D496" s="90">
        <f ca="1">IFERROR(__xludf.DUMMYFUNCTION("C490*IMPORTRANGE(""https://docs.google.com/spreadsheets/d/1xsp01RMmkav9iTy39Zaj_7tE9677EGlOJ14KU9TZn7I"",""H1232"")"),21.2713161375)</f>
        <v>21.271316137500001</v>
      </c>
      <c r="E496" s="90">
        <f ca="1">IFERROR(__xludf.DUMMYFUNCTION("C490*IMPORTRANGE(""https://docs.google.com/spreadsheets/d/1xsp01RMmkav9iTy39Zaj_7tE9677EGlOJ14KU9TZn7I"",""T1232"")"),18.297317268)</f>
        <v>18.297317268</v>
      </c>
      <c r="F496" s="90">
        <f ca="1">IFERROR(__xludf.DUMMYFUNCTION("C490*IMPORTRANGE(""https://docs.google.com/spreadsheets/d/1xsp01RMmkav9iTy39Zaj_7tE9677EGlOJ14KU9TZn7I"",""AC1232"")"),3022.6543038)</f>
        <v>3022.6543038</v>
      </c>
      <c r="G496" s="69" t="s">
        <v>8</v>
      </c>
      <c r="I496" s="14"/>
      <c r="J496" s="14"/>
      <c r="K496" s="21"/>
    </row>
    <row r="497" spans="1:11" ht="13.2" x14ac:dyDescent="0.25">
      <c r="A497" s="92">
        <v>45129</v>
      </c>
      <c r="B497" s="86">
        <v>360</v>
      </c>
      <c r="C497" s="78">
        <f>25501.5/1000</f>
        <v>25.5015</v>
      </c>
      <c r="D497" s="87">
        <f ca="1">IFERROR(__xludf.DUMMYFUNCTION("C491*IMPORTRANGE(""https://docs.google.com/spreadsheets/d/1xsp01RMmkav9iTy39Zaj_7tE9677EGlOJ14KU9TZn7I"",""H1254"")"),25.03482255)</f>
        <v>25.034822550000001</v>
      </c>
      <c r="E497" s="87">
        <f ca="1">IFERROR(__xludf.DUMMYFUNCTION("C491*IMPORTRANGE(""https://docs.google.com/spreadsheets/d/1xsp01RMmkav9iTy39Zaj_7tE9677EGlOJ14KU9TZn7I"",""T1254"")"),21.2580504)</f>
        <v>21.258050399999998</v>
      </c>
      <c r="F497" s="87">
        <f ca="1">IFERROR(__xludf.DUMMYFUNCTION("C491*IMPORTRANGE(""https://docs.google.com/spreadsheets/d/1xsp01RMmkav9iTy39Zaj_7tE9677EGlOJ14KU9TZn7I"",""AC1254"")"),3479.1951465)</f>
        <v>3479.1951465000002</v>
      </c>
      <c r="G497" s="64" t="s">
        <v>8</v>
      </c>
      <c r="I497" s="14"/>
      <c r="J497" s="14"/>
      <c r="K497" s="21"/>
    </row>
    <row r="498" spans="1:11" ht="13.2" x14ac:dyDescent="0.25">
      <c r="A498" s="94">
        <v>45160</v>
      </c>
      <c r="B498" s="89">
        <v>366</v>
      </c>
      <c r="C498" s="84">
        <f>18724.8/1000</f>
        <v>18.724799999999998</v>
      </c>
      <c r="D498" s="90">
        <f ca="1">IFERROR(__xludf.DUMMYFUNCTION("C492*IMPORTRANGE(""https://docs.google.com/spreadsheets/d/1xsp01RMmkav9iTy39Zaj_7tE9677EGlOJ14KU9TZn7I"",""H1278"")"),18.426326688)</f>
        <v>18.426326688</v>
      </c>
      <c r="E498" s="90">
        <f ca="1">IFERROR(__xludf.DUMMYFUNCTION("C492*IMPORTRANGE(""https://docs.google.com/spreadsheets/d/1xsp01RMmkav9iTy39Zaj_7tE9677EGlOJ14KU9TZn7I"",""T1278"")"),15.5269786559999)</f>
        <v>15.526978655999899</v>
      </c>
      <c r="F498" s="90">
        <f ca="1">IFERROR(__xludf.DUMMYFUNCTION("C492*IMPORTRANGE(""https://docs.google.com/spreadsheets/d/1xsp01RMmkav9iTy39Zaj_7tE9677EGlOJ14KU9TZn7I"",""AC1278"")"),2526.79941119999)</f>
        <v>2526.7994111999901</v>
      </c>
      <c r="G498" s="69" t="s">
        <v>8</v>
      </c>
      <c r="I498" s="14"/>
      <c r="J498" s="14"/>
      <c r="K498" s="21"/>
    </row>
    <row r="499" spans="1:11" ht="13.2" x14ac:dyDescent="0.25">
      <c r="A499" s="92">
        <v>45191</v>
      </c>
      <c r="B499" s="86">
        <v>356</v>
      </c>
      <c r="C499" s="78">
        <f>14481.2/1000</f>
        <v>14.481200000000001</v>
      </c>
      <c r="D499" s="87">
        <f ca="1">IFERROR(__xludf.DUMMYFUNCTION("C493*IMPORTRANGE(""https://docs.google.com/spreadsheets/d/1xsp01RMmkav9iTy39Zaj_7tE9677EGlOJ14KU9TZn7I"",""H1301"")"),14.537097432)</f>
        <v>14.537097431999999</v>
      </c>
      <c r="E499" s="87">
        <f ca="1">IFERROR(__xludf.DUMMYFUNCTION("C493*IMPORTRANGE(""https://docs.google.com/spreadsheets/d/1xsp01RMmkav9iTy39Zaj_7tE9677EGlOJ14KU9TZn7I"",""T1301"")"),12.63231279)</f>
        <v>12.63231279</v>
      </c>
      <c r="F499" s="87">
        <f ca="1">IFERROR(__xludf.DUMMYFUNCTION("C493*IMPORTRANGE(""https://docs.google.com/spreadsheets/d/1xsp01RMmkav9iTy39Zaj_7tE9677EGlOJ14KU9TZn7I"",""AC1301"")"),2075.0690728)</f>
        <v>2075.0690728</v>
      </c>
      <c r="G499" s="64" t="s">
        <v>8</v>
      </c>
      <c r="I499" s="14"/>
      <c r="J499" s="14"/>
      <c r="K499" s="21"/>
    </row>
    <row r="500" spans="1:11" ht="13.2" x14ac:dyDescent="0.25">
      <c r="A500" s="94">
        <v>45221</v>
      </c>
      <c r="B500" s="89">
        <v>370</v>
      </c>
      <c r="C500" s="84">
        <f>20382.7/1000</f>
        <v>20.3827</v>
      </c>
      <c r="D500" s="90">
        <f ca="1">IFERROR(__xludf.DUMMYFUNCTION("C494*IMPORTRANGE(""https://docs.google.com/spreadsheets/d/1xsp01RMmkav9iTy39Zaj_7tE9677EGlOJ14KU9TZn7I"",""H1323"")"),20.730836516)</f>
        <v>20.730836516</v>
      </c>
      <c r="E500" s="90">
        <f ca="1">IFERROR(__xludf.DUMMYFUNCTION("C494*IMPORTRANGE(""https://docs.google.com/spreadsheets/d/1xsp01RMmkav9iTy39Zaj_7tE9677EGlOJ14KU9TZn7I"",""T1323"")"),18.025440745)</f>
        <v>18.025440745000001</v>
      </c>
      <c r="F500" s="90">
        <f ca="1">IFERROR(__xludf.DUMMYFUNCTION("C494*IMPORTRANGE(""https://docs.google.com/spreadsheets/d/1xsp01RMmkav9iTy39Zaj_7tE9677EGlOJ14KU9TZn7I"",""AC1323"")"),2990.8962499)</f>
        <v>2990.8962498999999</v>
      </c>
      <c r="G500" s="69" t="s">
        <v>8</v>
      </c>
      <c r="I500" s="14"/>
      <c r="J500" s="14"/>
      <c r="K500" s="21"/>
    </row>
    <row r="501" spans="1:11" ht="13.2" x14ac:dyDescent="0.25">
      <c r="A501" s="92">
        <v>45252</v>
      </c>
      <c r="B501" s="86">
        <v>380</v>
      </c>
      <c r="C501" s="78">
        <f>46388.3/1000</f>
        <v>46.388300000000001</v>
      </c>
      <c r="D501" s="87">
        <f ca="1">IFERROR(__xludf.DUMMYFUNCTION("C495*IMPORTRANGE(""https://docs.google.com/spreadsheets/d/1xsp01RMmkav9iTy39Zaj_7tE9677EGlOJ14KU9TZn7I"",""H1346"")"),44.9709054935)</f>
        <v>44.970905493499998</v>
      </c>
      <c r="E501" s="87">
        <f ca="1">IFERROR(__xludf.DUMMYFUNCTION("C495*IMPORTRANGE(""https://docs.google.com/spreadsheets/d/1xsp01RMmkav9iTy39Zaj_7tE9677EGlOJ14KU9TZn7I"",""T1346"")"),39.26769595)</f>
        <v>39.267695949999997</v>
      </c>
      <c r="F501" s="87">
        <f ca="1">IFERROR(__xludf.DUMMYFUNCTION("C495*IMPORTRANGE(""https://docs.google.com/spreadsheets/d/1xsp01RMmkav9iTy39Zaj_7tE9677EGlOJ14KU9TZn7I"",""AC1346"")"),6530.70723305)</f>
        <v>6530.7072330499996</v>
      </c>
      <c r="G501" s="64" t="s">
        <v>8</v>
      </c>
      <c r="I501" s="14"/>
      <c r="J501" s="14"/>
      <c r="K501" s="21"/>
    </row>
    <row r="502" spans="1:11" ht="13.2" x14ac:dyDescent="0.25">
      <c r="A502" s="94">
        <v>45282</v>
      </c>
      <c r="B502" s="89">
        <v>447</v>
      </c>
      <c r="C502" s="84">
        <f>29603.9/1000</f>
        <v>29.603900000000003</v>
      </c>
      <c r="D502" s="90">
        <f ca="1">IFERROR(__xludf.DUMMYFUNCTION("C496*IMPORTRANGE(""https://docs.google.com/spreadsheets/d/1xsp01RMmkav9iTy39Zaj_7tE9677EGlOJ14KU9TZn7I"",""H1369"")"),27.91055692)</f>
        <v>27.910556920000001</v>
      </c>
      <c r="E502" s="90">
        <f ca="1">IFERROR(__xludf.DUMMYFUNCTION("C496*IMPORTRANGE(""https://docs.google.com/spreadsheets/d/1xsp01RMmkav9iTy39Zaj_7tE9677EGlOJ14KU9TZn7I"",""T1369"")"),24.3159033625)</f>
        <v>24.315903362499999</v>
      </c>
      <c r="F502" s="90">
        <f ca="1">IFERROR(__xludf.DUMMYFUNCTION("C496*IMPORTRANGE(""https://docs.google.com/spreadsheets/d/1xsp01RMmkav9iTy39Zaj_7tE9677EGlOJ14KU9TZn7I"",""AC1369"")"),4010.3219174)</f>
        <v>4010.3219174000001</v>
      </c>
      <c r="G502" s="69" t="s">
        <v>8</v>
      </c>
      <c r="I502" s="14"/>
      <c r="J502" s="14"/>
      <c r="K502" s="21"/>
    </row>
    <row r="503" spans="1:11" ht="13.2" x14ac:dyDescent="0.25">
      <c r="A503" s="59">
        <v>2023</v>
      </c>
      <c r="B503" s="57"/>
      <c r="C503" s="60"/>
      <c r="D503" s="60"/>
      <c r="E503" s="60"/>
      <c r="F503" s="60"/>
      <c r="G503" s="59"/>
      <c r="I503" s="109" t="s">
        <v>403</v>
      </c>
      <c r="J503" s="109" t="s">
        <v>1</v>
      </c>
      <c r="K503" s="110" t="s">
        <v>402</v>
      </c>
    </row>
    <row r="504" spans="1:11" ht="13.2" x14ac:dyDescent="0.25">
      <c r="A504" s="95">
        <v>44949</v>
      </c>
      <c r="B504" s="96">
        <v>370</v>
      </c>
      <c r="C504" s="78">
        <f>8187.1/1000</f>
        <v>8.1871000000000009</v>
      </c>
      <c r="D504" s="87">
        <f ca="1">IFERROR(__xludf.DUMMYFUNCTION("C498*IMPORTRANGE(""https://docs.google.com/spreadsheets/d/1xsp01RMmkav9iTy39Zaj_7tE9677EGlOJ14KU9TZn7I"",""H1393"")"),7.5727809515)</f>
        <v>7.5727809515000004</v>
      </c>
      <c r="E504" s="87">
        <f ca="1">IFERROR(__xludf.DUMMYFUNCTION("C498*IMPORTRANGE(""https://docs.google.com/spreadsheets/d/1xsp01RMmkav9iTy39Zaj_7tE9677EGlOJ14KU9TZn7I"",""T1393"")"),6.698521478)</f>
        <v>6.698521478</v>
      </c>
      <c r="F504" s="87">
        <f ca="1">IFERROR(__xludf.DUMMYFUNCTION("C498*IMPORTRANGE(""https://docs.google.com/spreadsheets/d/1xsp01RMmkav9iTy39Zaj_7tE9677EGlOJ14KU9TZn7I"",""AC1393"")"),1067.2621770871)</f>
        <v>1067.2621770871001</v>
      </c>
      <c r="G504" s="64" t="s">
        <v>8</v>
      </c>
      <c r="I504" s="111"/>
      <c r="J504" s="112">
        <f>SUM(B504:B514)</f>
        <v>3669</v>
      </c>
      <c r="K504" s="113">
        <f>SUM(C504:C514)</f>
        <v>180.78059999999999</v>
      </c>
    </row>
    <row r="505" spans="1:11" ht="13.2" x14ac:dyDescent="0.25">
      <c r="A505" s="102">
        <v>44980</v>
      </c>
      <c r="B505" s="103">
        <v>374</v>
      </c>
      <c r="C505" s="84">
        <f>29130.1/1000</f>
        <v>29.130099999999999</v>
      </c>
      <c r="D505" s="90">
        <f ca="1">IFERROR(__xludf.DUMMYFUNCTION("C499*IMPORTRANGE(""https://docs.google.com/spreadsheets/d/1xsp01RMmkav9iTy39Zaj_7tE9677EGlOJ14KU9TZn7I"",""H1414"")"),27.18420932)</f>
        <v>27.184209320000001</v>
      </c>
      <c r="E505" s="90">
        <f ca="1">IFERROR(__xludf.DUMMYFUNCTION("C499*IMPORTRANGE(""https://docs.google.com/spreadsheets/d/1xsp01RMmkav9iTy39Zaj_7tE9677EGlOJ14KU9TZn7I"",""T1414"")"),24.1674961639999)</f>
        <v>24.1674961639999</v>
      </c>
      <c r="F505" s="90">
        <f ca="1">IFERROR(__xludf.DUMMYFUNCTION("C499*IMPORTRANGE(""https://docs.google.com/spreadsheets/d/1xsp01RMmkav9iTy39Zaj_7tE9677EGlOJ14KU9TZn7I"",""AC1414"")"),3868.6811907)</f>
        <v>3868.6811907000001</v>
      </c>
      <c r="G505" s="69" t="s">
        <v>8</v>
      </c>
    </row>
    <row r="506" spans="1:11" ht="13.2" x14ac:dyDescent="0.25">
      <c r="A506" s="95">
        <v>45008</v>
      </c>
      <c r="B506" s="96">
        <v>379</v>
      </c>
      <c r="C506" s="78">
        <f>17716.4/1000</f>
        <v>17.7164</v>
      </c>
      <c r="D506" s="87">
        <f ca="1">IFERROR(__xludf.DUMMYFUNCTION("C500*IMPORTRANGE(""https://docs.google.com/spreadsheets/d/1xsp01RMmkav9iTy39Zaj_7tE9677EGlOJ14KU9TZn7I"",""H1438"")"),16.57546384)</f>
        <v>16.575463840000001</v>
      </c>
      <c r="E506" s="87">
        <f ca="1">IFERROR(__xludf.DUMMYFUNCTION("C500*IMPORTRANGE(""https://docs.google.com/spreadsheets/d/1xsp01RMmkav9iTy39Zaj_7tE9677EGlOJ14KU9TZn7I"",""T1438"")"),14.57882556)</f>
        <v>14.57882556</v>
      </c>
      <c r="F506" s="87">
        <f ca="1">IFERROR(__xludf.DUMMYFUNCTION("C500*IMPORTRANGE(""https://docs.google.com/spreadsheets/d/1xsp01RMmkav9iTy39Zaj_7tE9677EGlOJ14KU9TZn7I"",""AC1438"")"),2359.8422672656)</f>
        <v>2359.8422672656002</v>
      </c>
      <c r="G506" s="64" t="s">
        <v>8</v>
      </c>
    </row>
    <row r="507" spans="1:11" ht="13.2" x14ac:dyDescent="0.25">
      <c r="A507" s="102">
        <v>45039</v>
      </c>
      <c r="B507" s="103">
        <v>322</v>
      </c>
      <c r="C507" s="84">
        <f>15698.8/1000</f>
        <v>15.698799999999999</v>
      </c>
      <c r="D507" s="90">
        <f ca="1">IFERROR(__xludf.DUMMYFUNCTION("C501*IMPORTRANGE(""https://docs.google.com/spreadsheets/d/1xsp01RMmkav9iTy39Zaj_7tE9677EGlOJ14KU9TZn7I"",""H1459"")"),14.31652066)</f>
        <v>14.31652066</v>
      </c>
      <c r="E507" s="90">
        <f ca="1">IFERROR(__xludf.DUMMYFUNCTION("C501*IMPORTRANGE(""https://docs.google.com/spreadsheets/d/1xsp01RMmkav9iTy39Zaj_7tE9677EGlOJ14KU9TZn7I"",""T1459"")"),12.6243705561999)</f>
        <v>12.624370556199899</v>
      </c>
      <c r="F507" s="90">
        <f ca="1">IFERROR(__xludf.DUMMYFUNCTION("C501*IMPORTRANGE(""https://docs.google.com/spreadsheets/d/1xsp01RMmkav9iTy39Zaj_7tE9677EGlOJ14KU9TZn7I"",""AC1459"")"),2096.2842180072)</f>
        <v>2096.2842180071998</v>
      </c>
      <c r="G507" s="69" t="s">
        <v>8</v>
      </c>
    </row>
    <row r="508" spans="1:11" ht="13.2" x14ac:dyDescent="0.25">
      <c r="A508" s="97">
        <v>45069</v>
      </c>
      <c r="B508" s="96">
        <v>359</v>
      </c>
      <c r="C508" s="78">
        <f>7756.6/1000</f>
        <v>7.7566000000000006</v>
      </c>
      <c r="D508" s="87">
        <f ca="1">IFERROR(__xludf.DUMMYFUNCTION("C502*IMPORTRANGE(""https://docs.google.com/spreadsheets/d/1xsp01RMmkav9iTy39Zaj_7tE9677EGlOJ14KU9TZn7I"",""H1483"")"),7.138631678)</f>
        <v>7.1386316780000003</v>
      </c>
      <c r="E508" s="87">
        <f ca="1">IFERROR(__xludf.DUMMYFUNCTION("C502*IMPORTRANGE(""https://docs.google.com/spreadsheets/d/1xsp01RMmkav9iTy39Zaj_7tE9677EGlOJ14KU9TZn7I"",""T1483"")"),6.2138277732)</f>
        <v>6.2138277732000002</v>
      </c>
      <c r="F508" s="87">
        <f ca="1">IFERROR(__xludf.DUMMYFUNCTION("C502*IMPORTRANGE(""https://docs.google.com/spreadsheets/d/1xsp01RMmkav9iTy39Zaj_7tE9677EGlOJ14KU9TZn7I"",""AC1483"")"),1058.5121756)</f>
        <v>1058.5121756000001</v>
      </c>
      <c r="G508" s="64" t="s">
        <v>8</v>
      </c>
    </row>
    <row r="509" spans="1:11" ht="13.2" x14ac:dyDescent="0.25">
      <c r="A509" s="104">
        <v>45100</v>
      </c>
      <c r="B509" s="103">
        <v>373</v>
      </c>
      <c r="C509" s="84">
        <f>27731.3/1000</f>
        <v>27.731300000000001</v>
      </c>
      <c r="D509" s="105">
        <f ca="1">IFERROR(__xludf.DUMMYFUNCTION("C503*IMPORTRANGE(""https://docs.google.com/spreadsheets/d/1xsp01RMmkav9iTy39Zaj_7tE9677EGlOJ14KU9TZn7I"",""H1506"")"),25.5744981425)</f>
        <v>25.574498142500001</v>
      </c>
      <c r="E509" s="105">
        <f ca="1">IFERROR(__xludf.DUMMYFUNCTION("C503*IMPORTRANGE(""https://docs.google.com/spreadsheets/d/1xsp01RMmkav9iTy39Zaj_7tE9677EGlOJ14KU9TZn7I"",""T1506"")"),21.9544542405)</f>
        <v>21.954454240499999</v>
      </c>
      <c r="F509" s="105">
        <f ca="1">IFERROR(__xludf.DUMMYFUNCTION("C503*IMPORTRANGE(""https://docs.google.com/spreadsheets/d/1xsp01RMmkav9iTy39Zaj_7tE9677EGlOJ14KU9TZn7I"",""AC1506"")"),3888.9682669439)</f>
        <v>3888.9682669438998</v>
      </c>
      <c r="G509" s="69" t="s">
        <v>8</v>
      </c>
    </row>
    <row r="510" spans="1:11" ht="13.2" x14ac:dyDescent="0.25">
      <c r="A510" s="92">
        <v>45130</v>
      </c>
      <c r="B510" s="96">
        <v>306</v>
      </c>
      <c r="C510" s="78">
        <f>10409.8/1000</f>
        <v>10.409799999999999</v>
      </c>
      <c r="D510" s="98">
        <f ca="1">IFERROR(__xludf.DUMMYFUNCTION("C504*IMPORTRANGE(""https://docs.google.com/spreadsheets/d/1xsp01RMmkav9iTy39Zaj_7tE9677EGlOJ14KU9TZn7I"",""H1528"")"),9.42024441199999)</f>
        <v>9.42024441199999</v>
      </c>
      <c r="E510" s="98">
        <f ca="1">IFERROR(__xludf.DUMMYFUNCTION("C504*IMPORTRANGE(""https://docs.google.com/spreadsheets/d/1xsp01RMmkav9iTy39Zaj_7tE9677EGlOJ14KU9TZn7I"",""T1528"")"),8.091745736)</f>
        <v>8.091745736</v>
      </c>
      <c r="F510" s="98">
        <f ca="1">IFERROR(__xludf.DUMMYFUNCTION("C504*IMPORTRANGE(""https://docs.google.com/spreadsheets/d/1xsp01RMmkav9iTy39Zaj_7tE9677EGlOJ14KU9TZn7I"",""AC1528"")"),1466.8760849412)</f>
        <v>1466.8760849411999</v>
      </c>
      <c r="G510" s="64" t="s">
        <v>8</v>
      </c>
    </row>
    <row r="511" spans="1:11" ht="13.2" x14ac:dyDescent="0.25">
      <c r="A511" s="106">
        <v>45161</v>
      </c>
      <c r="B511" s="103">
        <v>279</v>
      </c>
      <c r="C511" s="84">
        <f>21108.3/1000</f>
        <v>21.1083</v>
      </c>
      <c r="D511" s="105">
        <f ca="1">IFERROR(__xludf.DUMMYFUNCTION("C505*IMPORTRANGE(""https://docs.google.com/spreadsheets/d/1xsp01RMmkav9iTy39Zaj_7tE9677EGlOJ14KU9TZn7I"",""H1552"")"),19.3478677799999)</f>
        <v>19.347867779999898</v>
      </c>
      <c r="E511" s="105">
        <f ca="1">IFERROR(__xludf.DUMMYFUNCTION("C505*IMPORTRANGE(""https://docs.google.com/spreadsheets/d/1xsp01RMmkav9iTy39Zaj_7tE9677EGlOJ14KU9TZn7I"",""T1552"")"),16.5940789619999)</f>
        <v>16.594078961999902</v>
      </c>
      <c r="F511" s="105">
        <f ca="1">IFERROR(__xludf.DUMMYFUNCTION("C505*IMPORTRANGE(""https://docs.google.com/spreadsheets/d/1xsp01RMmkav9iTy39Zaj_7tE9677EGlOJ14KU9TZn7I"",""AC1552"")"),3067.1413837419)</f>
        <v>3067.1413837419</v>
      </c>
      <c r="G511" s="69" t="s">
        <v>8</v>
      </c>
    </row>
    <row r="512" spans="1:11" ht="13.2" x14ac:dyDescent="0.25">
      <c r="A512" s="92">
        <v>45192</v>
      </c>
      <c r="B512" s="99">
        <v>308</v>
      </c>
      <c r="C512" s="78">
        <f>18715.5/1000</f>
        <v>18.715499999999999</v>
      </c>
      <c r="D512" s="100">
        <f ca="1">IFERROR(__xludf.DUMMYFUNCTION("C506*IMPORTRANGE(""https://docs.google.com/spreadsheets/d/1xsp01RMmkav9iTy39Zaj_7tE9677EGlOJ14KU9TZn7I"",""H1574"")"),17.50310991)</f>
        <v>17.503109909999999</v>
      </c>
      <c r="E512" s="100">
        <f ca="1">IFERROR(__xludf.DUMMYFUNCTION("C506*IMPORTRANGE(""https://docs.google.com/spreadsheets/d/1xsp01RMmkav9iTy39Zaj_7tE9677EGlOJ14KU9TZn7I"",""T1574"")"),15.0908691149999)</f>
        <v>15.090869114999901</v>
      </c>
      <c r="F512" s="100">
        <f ca="1">IFERROR(__xludf.DUMMYFUNCTION("C506*IMPORTRANGE(""https://docs.google.com/spreadsheets/d/1xsp01RMmkav9iTy39Zaj_7tE9677EGlOJ14KU9TZn7I"",""AC1574"")"),2762.50130263799)</f>
        <v>2762.5013026379902</v>
      </c>
      <c r="G512" s="64" t="s">
        <v>8</v>
      </c>
    </row>
    <row r="513" spans="1:7" ht="13.2" x14ac:dyDescent="0.25">
      <c r="A513" s="94">
        <v>45222</v>
      </c>
      <c r="B513" s="107">
        <v>285</v>
      </c>
      <c r="C513" s="84">
        <f>4989.5/1000</f>
        <v>4.9894999999999996</v>
      </c>
      <c r="D513" s="108">
        <f ca="1">IFERROR(__xludf.DUMMYFUNCTION("C507*IMPORTRANGE(""https://docs.google.com/spreadsheets/d/1xsp01RMmkav9iTy39Zaj_7tE9677EGlOJ14KU9TZn7I"",""H1597"")"),4.722112695)</f>
        <v>4.7221126949999999</v>
      </c>
      <c r="E513" s="108">
        <f ca="1">IFERROR(__xludf.DUMMYFUNCTION("C507*IMPORTRANGE(""https://docs.google.com/spreadsheets/d/1xsp01RMmkav9iTy39Zaj_7tE9677EGlOJ14KU9TZn7I"",""T1597"")"),4.102217215)</f>
        <v>4.1022172149999996</v>
      </c>
      <c r="F513" s="108">
        <f ca="1">IFERROR(__xludf.DUMMYFUNCTION("C507*IMPORTRANGE(""https://docs.google.com/spreadsheets/d/1xsp01RMmkav9iTy39Zaj_7tE9677EGlOJ14KU9TZn7I"",""AC1597"")"),747.1152712185)</f>
        <v>747.11527121849997</v>
      </c>
      <c r="G513" s="69" t="s">
        <v>8</v>
      </c>
    </row>
    <row r="514" spans="1:7" ht="13.2" x14ac:dyDescent="0.25">
      <c r="A514" s="92">
        <v>45253</v>
      </c>
      <c r="B514" s="99">
        <v>314</v>
      </c>
      <c r="C514" s="78">
        <f>19337.2/1000</f>
        <v>19.337199999999999</v>
      </c>
      <c r="D514" s="101">
        <f ca="1">IFERROR(__xludf.DUMMYFUNCTION("C508*IMPORTRANGE(""https://docs.google.com/spreadsheets/d/1xsp01RMmkav9iTy39Zaj_7tE9677EGlOJ14KU9TZn7I"",""H1620"")"),17.815459046)</f>
        <v>17.815459046000001</v>
      </c>
      <c r="E514" s="101">
        <f ca="1">IFERROR(__xludf.DUMMYFUNCTION("C508*IMPORTRANGE(""https://docs.google.com/spreadsheets/d/1xsp01RMmkav9iTy39Zaj_7tE9677EGlOJ14KU9TZn7I"",""T1620"")"),15.5710869279999)</f>
        <v>15.5710869279999</v>
      </c>
      <c r="F514" s="101">
        <f ca="1">IFERROR(__xludf.DUMMYFUNCTION("C508*IMPORTRANGE(""https://docs.google.com/spreadsheets/d/1xsp01RMmkav9iTy39Zaj_7tE9677EGlOJ14KU9TZn7I"",""AC1620"")"),2904.3023529884)</f>
        <v>2904.3023529883999</v>
      </c>
      <c r="G514" s="64" t="s">
        <v>8</v>
      </c>
    </row>
    <row r="515" spans="1:7" ht="13.2" x14ac:dyDescent="0.25">
      <c r="A515" s="106">
        <v>45283</v>
      </c>
      <c r="B515" s="73">
        <v>186</v>
      </c>
      <c r="C515" s="84">
        <f>11047.9/1000</f>
        <v>11.0479</v>
      </c>
      <c r="D515" s="108">
        <f ca="1">IFERROR(__xludf.DUMMYFUNCTION("C275*IMPORTRANGE(""https://docs.google.com/spreadsheets/d/1xsp01RMmkav9iTy39Zaj_7tE9677EGlOJ14KU9TZn7I"",""H1642"")"),59.29916064)</f>
        <v>59.299160639999997</v>
      </c>
      <c r="E515" s="108">
        <f ca="1">IFERROR(__xludf.DUMMYFUNCTION("C275*IMPORTRANGE(""https://docs.google.com/spreadsheets/d/1xsp01RMmkav9iTy39Zaj_7tE9677EGlOJ14KU9TZn7I"",""T1642"")"),51.0661632)</f>
        <v>51.066163199999998</v>
      </c>
      <c r="F515" s="108">
        <f ca="1">IFERROR(__xludf.DUMMYFUNCTION("C275*IMPORTRANGE(""https://docs.google.com/spreadsheets/d/1xsp01RMmkav9iTy39Zaj_7tE9677EGlOJ14KU9TZn7I"",""AC1642"")"),9272.73366096)</f>
        <v>9272.7336609600006</v>
      </c>
      <c r="G515" s="69" t="s">
        <v>8</v>
      </c>
    </row>
    <row r="516" spans="1:7" ht="13.2" x14ac:dyDescent="0.25">
      <c r="G516" s="1"/>
    </row>
    <row r="517" spans="1:7" ht="13.2" x14ac:dyDescent="0.25">
      <c r="G517" s="1"/>
    </row>
    <row r="518" spans="1:7" ht="13.2" x14ac:dyDescent="0.25">
      <c r="G518" s="1"/>
    </row>
    <row r="519" spans="1:7" ht="13.2" x14ac:dyDescent="0.25">
      <c r="G519" s="1"/>
    </row>
    <row r="520" spans="1:7" ht="13.2" x14ac:dyDescent="0.25">
      <c r="G520" s="1"/>
    </row>
    <row r="521" spans="1:7" ht="13.2" x14ac:dyDescent="0.25">
      <c r="G521" s="1"/>
    </row>
    <row r="522" spans="1:7" ht="13.2" x14ac:dyDescent="0.25">
      <c r="G522" s="1"/>
    </row>
    <row r="523" spans="1:7" ht="13.2" x14ac:dyDescent="0.25">
      <c r="G523" s="1"/>
    </row>
    <row r="524" spans="1:7" ht="13.2" x14ac:dyDescent="0.25">
      <c r="G524" s="1"/>
    </row>
    <row r="525" spans="1:7" ht="13.2" x14ac:dyDescent="0.25">
      <c r="G525" s="1"/>
    </row>
    <row r="526" spans="1:7" ht="13.2" x14ac:dyDescent="0.25">
      <c r="G526" s="1"/>
    </row>
    <row r="527" spans="1:7" ht="13.2" x14ac:dyDescent="0.25">
      <c r="G527" s="1"/>
    </row>
    <row r="528" spans="1:7" ht="13.2" x14ac:dyDescent="0.25">
      <c r="G528" s="1"/>
    </row>
    <row r="529" spans="7:7" ht="13.2" x14ac:dyDescent="0.25">
      <c r="G529" s="1"/>
    </row>
    <row r="530" spans="7:7" ht="13.2" x14ac:dyDescent="0.25">
      <c r="G530" s="1"/>
    </row>
    <row r="531" spans="7:7" ht="13.2" x14ac:dyDescent="0.25">
      <c r="G531" s="1"/>
    </row>
    <row r="532" spans="7:7" ht="13.2" x14ac:dyDescent="0.25">
      <c r="G532" s="1"/>
    </row>
    <row r="533" spans="7:7" ht="13.2" x14ac:dyDescent="0.25">
      <c r="G533" s="1"/>
    </row>
    <row r="534" spans="7:7" ht="13.2" x14ac:dyDescent="0.25">
      <c r="G534" s="1"/>
    </row>
    <row r="535" spans="7:7" ht="13.2" x14ac:dyDescent="0.25">
      <c r="G535" s="1"/>
    </row>
    <row r="536" spans="7:7" ht="13.2" x14ac:dyDescent="0.25">
      <c r="G536" s="1"/>
    </row>
    <row r="537" spans="7:7" ht="13.2" x14ac:dyDescent="0.25">
      <c r="G537" s="1"/>
    </row>
    <row r="538" spans="7:7" ht="13.2" x14ac:dyDescent="0.25">
      <c r="G538" s="1"/>
    </row>
    <row r="539" spans="7:7" ht="13.2" x14ac:dyDescent="0.25">
      <c r="G539" s="1"/>
    </row>
    <row r="540" spans="7:7" ht="13.2" x14ac:dyDescent="0.25">
      <c r="G540" s="1"/>
    </row>
    <row r="541" spans="7:7" ht="13.2" x14ac:dyDescent="0.25">
      <c r="G541" s="1"/>
    </row>
    <row r="542" spans="7:7" ht="13.2" x14ac:dyDescent="0.25">
      <c r="G542" s="1"/>
    </row>
    <row r="543" spans="7:7" ht="13.2" x14ac:dyDescent="0.25">
      <c r="G543" s="1"/>
    </row>
    <row r="544" spans="7:7" ht="13.2" x14ac:dyDescent="0.25">
      <c r="G544" s="1"/>
    </row>
    <row r="545" spans="7:7" ht="13.2" x14ac:dyDescent="0.25">
      <c r="G545" s="1"/>
    </row>
    <row r="546" spans="7:7" ht="13.2" x14ac:dyDescent="0.25">
      <c r="G546" s="1"/>
    </row>
    <row r="547" spans="7:7" ht="13.2" x14ac:dyDescent="0.25">
      <c r="G547" s="1"/>
    </row>
    <row r="548" spans="7:7" ht="13.2" x14ac:dyDescent="0.25">
      <c r="G548" s="1"/>
    </row>
    <row r="549" spans="7:7" ht="13.2" x14ac:dyDescent="0.25">
      <c r="G549" s="1"/>
    </row>
    <row r="550" spans="7:7" ht="13.2" x14ac:dyDescent="0.25">
      <c r="G550" s="1"/>
    </row>
    <row r="551" spans="7:7" ht="13.2" x14ac:dyDescent="0.25">
      <c r="G551" s="1"/>
    </row>
    <row r="552" spans="7:7" ht="13.2" x14ac:dyDescent="0.25">
      <c r="G552" s="1"/>
    </row>
    <row r="553" spans="7:7" ht="13.2" x14ac:dyDescent="0.25">
      <c r="G553" s="1"/>
    </row>
    <row r="554" spans="7:7" ht="13.2" x14ac:dyDescent="0.25">
      <c r="G554" s="1"/>
    </row>
    <row r="555" spans="7:7" ht="13.2" x14ac:dyDescent="0.25">
      <c r="G555" s="1"/>
    </row>
    <row r="556" spans="7:7" ht="13.2" x14ac:dyDescent="0.25">
      <c r="G556" s="1"/>
    </row>
    <row r="557" spans="7:7" ht="13.2" x14ac:dyDescent="0.25">
      <c r="G557" s="1"/>
    </row>
    <row r="558" spans="7:7" ht="13.2" x14ac:dyDescent="0.25">
      <c r="G558" s="1"/>
    </row>
    <row r="559" spans="7:7" ht="13.2" x14ac:dyDescent="0.25">
      <c r="G559" s="1"/>
    </row>
    <row r="560" spans="7:7" ht="13.2" x14ac:dyDescent="0.25">
      <c r="G560" s="1"/>
    </row>
    <row r="561" spans="7:7" ht="13.2" x14ac:dyDescent="0.25">
      <c r="G561" s="1"/>
    </row>
    <row r="562" spans="7:7" ht="13.2" x14ac:dyDescent="0.25">
      <c r="G562" s="1"/>
    </row>
    <row r="563" spans="7:7" ht="13.2" x14ac:dyDescent="0.25">
      <c r="G563" s="1"/>
    </row>
    <row r="564" spans="7:7" ht="13.2" x14ac:dyDescent="0.25">
      <c r="G564" s="1"/>
    </row>
    <row r="565" spans="7:7" ht="13.2" x14ac:dyDescent="0.25">
      <c r="G565" s="1"/>
    </row>
    <row r="566" spans="7:7" ht="13.2" x14ac:dyDescent="0.25">
      <c r="G566" s="1"/>
    </row>
    <row r="567" spans="7:7" ht="13.2" x14ac:dyDescent="0.25">
      <c r="G567" s="1"/>
    </row>
    <row r="568" spans="7:7" ht="13.2" x14ac:dyDescent="0.25">
      <c r="G568" s="1"/>
    </row>
    <row r="569" spans="7:7" ht="13.2" x14ac:dyDescent="0.25">
      <c r="G569" s="1"/>
    </row>
    <row r="570" spans="7:7" ht="13.2" x14ac:dyDescent="0.25">
      <c r="G570" s="1"/>
    </row>
    <row r="571" spans="7:7" ht="13.2" x14ac:dyDescent="0.25">
      <c r="G571" s="1"/>
    </row>
    <row r="572" spans="7:7" ht="13.2" x14ac:dyDescent="0.25">
      <c r="G572" s="1"/>
    </row>
    <row r="573" spans="7:7" ht="13.2" x14ac:dyDescent="0.25">
      <c r="G573" s="1"/>
    </row>
    <row r="574" spans="7:7" ht="13.2" x14ac:dyDescent="0.25">
      <c r="G574" s="1"/>
    </row>
    <row r="575" spans="7:7" ht="13.2" x14ac:dyDescent="0.25">
      <c r="G575" s="1"/>
    </row>
    <row r="576" spans="7:7" ht="13.2" x14ac:dyDescent="0.25">
      <c r="G576" s="1"/>
    </row>
    <row r="577" spans="7:7" ht="13.2" x14ac:dyDescent="0.25">
      <c r="G577" s="1"/>
    </row>
    <row r="578" spans="7:7" ht="13.2" x14ac:dyDescent="0.25">
      <c r="G578" s="1"/>
    </row>
    <row r="579" spans="7:7" ht="13.2" x14ac:dyDescent="0.25">
      <c r="G579" s="1"/>
    </row>
    <row r="580" spans="7:7" ht="13.2" x14ac:dyDescent="0.25">
      <c r="G580" s="1"/>
    </row>
    <row r="581" spans="7:7" ht="13.2" x14ac:dyDescent="0.25">
      <c r="G581" s="1"/>
    </row>
    <row r="582" spans="7:7" ht="13.2" x14ac:dyDescent="0.25">
      <c r="G582" s="1"/>
    </row>
    <row r="583" spans="7:7" ht="13.2" x14ac:dyDescent="0.25">
      <c r="G583" s="1"/>
    </row>
    <row r="584" spans="7:7" ht="13.2" x14ac:dyDescent="0.25">
      <c r="G584" s="1"/>
    </row>
    <row r="585" spans="7:7" ht="13.2" x14ac:dyDescent="0.25">
      <c r="G585" s="1"/>
    </row>
    <row r="586" spans="7:7" ht="13.2" x14ac:dyDescent="0.25">
      <c r="G586" s="1"/>
    </row>
    <row r="587" spans="7:7" ht="13.2" x14ac:dyDescent="0.25">
      <c r="G587" s="1"/>
    </row>
    <row r="588" spans="7:7" ht="13.2" x14ac:dyDescent="0.25">
      <c r="G588" s="1"/>
    </row>
    <row r="589" spans="7:7" ht="13.2" x14ac:dyDescent="0.25">
      <c r="G589" s="1"/>
    </row>
    <row r="590" spans="7:7" ht="13.2" x14ac:dyDescent="0.25">
      <c r="G590" s="1"/>
    </row>
    <row r="591" spans="7:7" ht="13.2" x14ac:dyDescent="0.25">
      <c r="G591" s="1"/>
    </row>
    <row r="592" spans="7:7" ht="13.2" x14ac:dyDescent="0.25">
      <c r="G592" s="1"/>
    </row>
    <row r="593" spans="7:7" ht="13.2" x14ac:dyDescent="0.25">
      <c r="G593" s="1"/>
    </row>
    <row r="594" spans="7:7" ht="13.2" x14ac:dyDescent="0.25">
      <c r="G594" s="1"/>
    </row>
    <row r="595" spans="7:7" ht="13.2" x14ac:dyDescent="0.25">
      <c r="G595" s="1"/>
    </row>
    <row r="596" spans="7:7" ht="13.2" x14ac:dyDescent="0.25">
      <c r="G596" s="1"/>
    </row>
    <row r="597" spans="7:7" ht="13.2" x14ac:dyDescent="0.25">
      <c r="G597" s="1"/>
    </row>
    <row r="598" spans="7:7" ht="13.2" x14ac:dyDescent="0.25">
      <c r="G598" s="1"/>
    </row>
    <row r="599" spans="7:7" ht="13.2" x14ac:dyDescent="0.25">
      <c r="G599" s="1"/>
    </row>
    <row r="600" spans="7:7" ht="13.2" x14ac:dyDescent="0.25">
      <c r="G600" s="1"/>
    </row>
    <row r="601" spans="7:7" ht="13.2" x14ac:dyDescent="0.25">
      <c r="G601" s="1"/>
    </row>
    <row r="602" spans="7:7" ht="13.2" x14ac:dyDescent="0.25">
      <c r="G602" s="1"/>
    </row>
    <row r="603" spans="7:7" ht="13.2" x14ac:dyDescent="0.25">
      <c r="G603" s="1"/>
    </row>
    <row r="604" spans="7:7" ht="13.2" x14ac:dyDescent="0.25">
      <c r="G604" s="1"/>
    </row>
    <row r="605" spans="7:7" ht="13.2" x14ac:dyDescent="0.25">
      <c r="G605" s="1"/>
    </row>
    <row r="606" spans="7:7" ht="13.2" x14ac:dyDescent="0.25">
      <c r="G606" s="1"/>
    </row>
    <row r="607" spans="7:7" ht="13.2" x14ac:dyDescent="0.25">
      <c r="G607" s="1"/>
    </row>
    <row r="608" spans="7:7" ht="13.2" x14ac:dyDescent="0.25">
      <c r="G608" s="1"/>
    </row>
    <row r="609" spans="7:7" ht="13.2" x14ac:dyDescent="0.25">
      <c r="G609" s="1"/>
    </row>
    <row r="610" spans="7:7" ht="13.2" x14ac:dyDescent="0.25">
      <c r="G610" s="1"/>
    </row>
    <row r="611" spans="7:7" ht="13.2" x14ac:dyDescent="0.25">
      <c r="G611" s="1"/>
    </row>
    <row r="612" spans="7:7" ht="13.2" x14ac:dyDescent="0.25">
      <c r="G612" s="1"/>
    </row>
    <row r="613" spans="7:7" ht="13.2" x14ac:dyDescent="0.25">
      <c r="G613" s="1"/>
    </row>
    <row r="614" spans="7:7" ht="13.2" x14ac:dyDescent="0.25">
      <c r="G614" s="1"/>
    </row>
    <row r="615" spans="7:7" ht="13.2" x14ac:dyDescent="0.25">
      <c r="G615" s="1"/>
    </row>
    <row r="616" spans="7:7" ht="13.2" x14ac:dyDescent="0.25">
      <c r="G616" s="1"/>
    </row>
    <row r="617" spans="7:7" ht="13.2" x14ac:dyDescent="0.25">
      <c r="G617" s="1"/>
    </row>
    <row r="618" spans="7:7" ht="13.2" x14ac:dyDescent="0.25">
      <c r="G618" s="1"/>
    </row>
    <row r="619" spans="7:7" ht="13.2" x14ac:dyDescent="0.25">
      <c r="G619" s="1"/>
    </row>
    <row r="620" spans="7:7" ht="13.2" x14ac:dyDescent="0.25">
      <c r="G620" s="1"/>
    </row>
    <row r="621" spans="7:7" ht="13.2" x14ac:dyDescent="0.25">
      <c r="G621" s="1"/>
    </row>
    <row r="622" spans="7:7" ht="13.2" x14ac:dyDescent="0.25">
      <c r="G622" s="1"/>
    </row>
    <row r="623" spans="7:7" ht="13.2" x14ac:dyDescent="0.25">
      <c r="G623" s="1"/>
    </row>
    <row r="624" spans="7:7" ht="13.2" x14ac:dyDescent="0.25">
      <c r="G624" s="1"/>
    </row>
    <row r="625" spans="7:7" ht="13.2" x14ac:dyDescent="0.25">
      <c r="G625" s="1"/>
    </row>
    <row r="626" spans="7:7" ht="13.2" x14ac:dyDescent="0.25">
      <c r="G626" s="1"/>
    </row>
    <row r="627" spans="7:7" ht="13.2" x14ac:dyDescent="0.25">
      <c r="G627" s="1"/>
    </row>
    <row r="628" spans="7:7" ht="13.2" x14ac:dyDescent="0.25">
      <c r="G628" s="1"/>
    </row>
    <row r="629" spans="7:7" ht="13.2" x14ac:dyDescent="0.25">
      <c r="G629" s="1"/>
    </row>
    <row r="630" spans="7:7" ht="13.2" x14ac:dyDescent="0.25">
      <c r="G630" s="1"/>
    </row>
    <row r="631" spans="7:7" ht="13.2" x14ac:dyDescent="0.25">
      <c r="G631" s="1"/>
    </row>
    <row r="632" spans="7:7" ht="13.2" x14ac:dyDescent="0.25">
      <c r="G632" s="1"/>
    </row>
    <row r="633" spans="7:7" ht="13.2" x14ac:dyDescent="0.25">
      <c r="G633" s="1"/>
    </row>
    <row r="634" spans="7:7" ht="13.2" x14ac:dyDescent="0.25">
      <c r="G634" s="1"/>
    </row>
    <row r="635" spans="7:7" ht="13.2" x14ac:dyDescent="0.25">
      <c r="G635" s="1"/>
    </row>
    <row r="636" spans="7:7" ht="13.2" x14ac:dyDescent="0.25">
      <c r="G636" s="1"/>
    </row>
    <row r="637" spans="7:7" ht="13.2" x14ac:dyDescent="0.25">
      <c r="G637" s="1"/>
    </row>
    <row r="638" spans="7:7" ht="13.2" x14ac:dyDescent="0.25">
      <c r="G638" s="1"/>
    </row>
    <row r="639" spans="7:7" ht="13.2" x14ac:dyDescent="0.25">
      <c r="G639" s="1"/>
    </row>
    <row r="640" spans="7:7" ht="13.2" x14ac:dyDescent="0.25">
      <c r="G640" s="1"/>
    </row>
    <row r="641" spans="7:7" ht="13.2" x14ac:dyDescent="0.25">
      <c r="G641" s="1"/>
    </row>
    <row r="642" spans="7:7" ht="13.2" x14ac:dyDescent="0.25">
      <c r="G642" s="1"/>
    </row>
    <row r="643" spans="7:7" ht="13.2" x14ac:dyDescent="0.25">
      <c r="G643" s="1"/>
    </row>
    <row r="644" spans="7:7" ht="13.2" x14ac:dyDescent="0.25">
      <c r="G644" s="1"/>
    </row>
    <row r="645" spans="7:7" ht="13.2" x14ac:dyDescent="0.25">
      <c r="G645" s="1"/>
    </row>
    <row r="646" spans="7:7" ht="13.2" x14ac:dyDescent="0.25">
      <c r="G646" s="1"/>
    </row>
    <row r="647" spans="7:7" ht="13.2" x14ac:dyDescent="0.25">
      <c r="G647" s="1"/>
    </row>
    <row r="648" spans="7:7" ht="13.2" x14ac:dyDescent="0.25">
      <c r="G648" s="1"/>
    </row>
    <row r="649" spans="7:7" ht="13.2" x14ac:dyDescent="0.25">
      <c r="G649" s="1"/>
    </row>
    <row r="650" spans="7:7" ht="13.2" x14ac:dyDescent="0.25">
      <c r="G650" s="1"/>
    </row>
    <row r="651" spans="7:7" ht="13.2" x14ac:dyDescent="0.25">
      <c r="G651" s="1"/>
    </row>
    <row r="652" spans="7:7" ht="13.2" x14ac:dyDescent="0.25">
      <c r="G652" s="1"/>
    </row>
    <row r="653" spans="7:7" ht="13.2" x14ac:dyDescent="0.25">
      <c r="G653" s="1"/>
    </row>
    <row r="654" spans="7:7" ht="13.2" x14ac:dyDescent="0.25">
      <c r="G654" s="1"/>
    </row>
    <row r="655" spans="7:7" ht="13.2" x14ac:dyDescent="0.25">
      <c r="G655" s="1"/>
    </row>
    <row r="656" spans="7:7" ht="13.2" x14ac:dyDescent="0.25">
      <c r="G656" s="1"/>
    </row>
    <row r="657" spans="7:7" ht="13.2" x14ac:dyDescent="0.25">
      <c r="G657" s="1"/>
    </row>
    <row r="658" spans="7:7" ht="13.2" x14ac:dyDescent="0.25">
      <c r="G658" s="1"/>
    </row>
    <row r="659" spans="7:7" ht="13.2" x14ac:dyDescent="0.25">
      <c r="G659" s="1"/>
    </row>
    <row r="660" spans="7:7" ht="13.2" x14ac:dyDescent="0.25">
      <c r="G660" s="1"/>
    </row>
    <row r="661" spans="7:7" ht="13.2" x14ac:dyDescent="0.25">
      <c r="G661" s="1"/>
    </row>
    <row r="662" spans="7:7" ht="13.2" x14ac:dyDescent="0.25">
      <c r="G662" s="1"/>
    </row>
    <row r="663" spans="7:7" ht="13.2" x14ac:dyDescent="0.25">
      <c r="G663" s="1"/>
    </row>
    <row r="664" spans="7:7" ht="13.2" x14ac:dyDescent="0.25">
      <c r="G664" s="1"/>
    </row>
    <row r="665" spans="7:7" ht="13.2" x14ac:dyDescent="0.25">
      <c r="G665" s="1"/>
    </row>
    <row r="666" spans="7:7" ht="13.2" x14ac:dyDescent="0.25">
      <c r="G666" s="1"/>
    </row>
    <row r="667" spans="7:7" ht="13.2" x14ac:dyDescent="0.25">
      <c r="G667" s="1"/>
    </row>
    <row r="668" spans="7:7" ht="13.2" x14ac:dyDescent="0.25">
      <c r="G668" s="1"/>
    </row>
    <row r="669" spans="7:7" ht="13.2" x14ac:dyDescent="0.25">
      <c r="G669" s="1"/>
    </row>
    <row r="670" spans="7:7" ht="13.2" x14ac:dyDescent="0.25">
      <c r="G670" s="1"/>
    </row>
    <row r="671" spans="7:7" ht="13.2" x14ac:dyDescent="0.25">
      <c r="G671" s="1"/>
    </row>
    <row r="672" spans="7:7" ht="13.2" x14ac:dyDescent="0.25">
      <c r="G672" s="1"/>
    </row>
    <row r="673" spans="7:7" ht="13.2" x14ac:dyDescent="0.25">
      <c r="G673" s="1"/>
    </row>
    <row r="674" spans="7:7" ht="13.2" x14ac:dyDescent="0.25">
      <c r="G674" s="1"/>
    </row>
    <row r="675" spans="7:7" ht="13.2" x14ac:dyDescent="0.25">
      <c r="G675" s="1"/>
    </row>
    <row r="676" spans="7:7" ht="13.2" x14ac:dyDescent="0.25">
      <c r="G676" s="1"/>
    </row>
    <row r="677" spans="7:7" ht="13.2" x14ac:dyDescent="0.25">
      <c r="G677" s="1"/>
    </row>
    <row r="678" spans="7:7" ht="13.2" x14ac:dyDescent="0.25">
      <c r="G678" s="1"/>
    </row>
    <row r="679" spans="7:7" ht="13.2" x14ac:dyDescent="0.25">
      <c r="G679" s="1"/>
    </row>
    <row r="680" spans="7:7" ht="13.2" x14ac:dyDescent="0.25">
      <c r="G680" s="1"/>
    </row>
    <row r="681" spans="7:7" ht="13.2" x14ac:dyDescent="0.25">
      <c r="G681" s="1"/>
    </row>
    <row r="682" spans="7:7" ht="13.2" x14ac:dyDescent="0.25">
      <c r="G682" s="1"/>
    </row>
    <row r="683" spans="7:7" ht="13.2" x14ac:dyDescent="0.25">
      <c r="G683" s="1"/>
    </row>
    <row r="684" spans="7:7" ht="13.2" x14ac:dyDescent="0.25">
      <c r="G684" s="1"/>
    </row>
    <row r="685" spans="7:7" ht="13.2" x14ac:dyDescent="0.25">
      <c r="G685" s="1"/>
    </row>
    <row r="686" spans="7:7" ht="13.2" x14ac:dyDescent="0.25">
      <c r="G686" s="1"/>
    </row>
    <row r="687" spans="7:7" ht="13.2" x14ac:dyDescent="0.25">
      <c r="G687" s="1"/>
    </row>
    <row r="688" spans="7:7" ht="13.2" x14ac:dyDescent="0.25">
      <c r="G688" s="1"/>
    </row>
    <row r="689" spans="7:7" ht="13.2" x14ac:dyDescent="0.25">
      <c r="G689" s="1"/>
    </row>
    <row r="690" spans="7:7" ht="13.2" x14ac:dyDescent="0.25">
      <c r="G690" s="1"/>
    </row>
    <row r="691" spans="7:7" ht="13.2" x14ac:dyDescent="0.25">
      <c r="G691" s="1"/>
    </row>
    <row r="692" spans="7:7" ht="13.2" x14ac:dyDescent="0.25">
      <c r="G692" s="1"/>
    </row>
    <row r="693" spans="7:7" ht="13.2" x14ac:dyDescent="0.25">
      <c r="G693" s="1"/>
    </row>
    <row r="694" spans="7:7" ht="13.2" x14ac:dyDescent="0.25">
      <c r="G694" s="1"/>
    </row>
    <row r="695" spans="7:7" ht="13.2" x14ac:dyDescent="0.25">
      <c r="G695" s="1"/>
    </row>
    <row r="696" spans="7:7" ht="13.2" x14ac:dyDescent="0.25">
      <c r="G696" s="1"/>
    </row>
    <row r="697" spans="7:7" ht="13.2" x14ac:dyDescent="0.25">
      <c r="G697" s="1"/>
    </row>
    <row r="698" spans="7:7" ht="13.2" x14ac:dyDescent="0.25">
      <c r="G698" s="1"/>
    </row>
    <row r="699" spans="7:7" ht="13.2" x14ac:dyDescent="0.25">
      <c r="G699" s="1"/>
    </row>
    <row r="700" spans="7:7" ht="13.2" x14ac:dyDescent="0.25">
      <c r="G700" s="1"/>
    </row>
    <row r="701" spans="7:7" ht="13.2" x14ac:dyDescent="0.25">
      <c r="G701" s="1"/>
    </row>
    <row r="702" spans="7:7" ht="13.2" x14ac:dyDescent="0.25">
      <c r="G702" s="1"/>
    </row>
    <row r="703" spans="7:7" ht="13.2" x14ac:dyDescent="0.25">
      <c r="G703" s="1"/>
    </row>
    <row r="704" spans="7:7" ht="13.2" x14ac:dyDescent="0.25">
      <c r="G704" s="1"/>
    </row>
    <row r="705" spans="7:7" ht="13.2" x14ac:dyDescent="0.25">
      <c r="G705" s="1"/>
    </row>
    <row r="706" spans="7:7" ht="13.2" x14ac:dyDescent="0.25">
      <c r="G706" s="1"/>
    </row>
    <row r="707" spans="7:7" ht="13.2" x14ac:dyDescent="0.25">
      <c r="G707" s="1"/>
    </row>
    <row r="708" spans="7:7" ht="13.2" x14ac:dyDescent="0.25">
      <c r="G708" s="1"/>
    </row>
    <row r="709" spans="7:7" ht="13.2" x14ac:dyDescent="0.25">
      <c r="G709" s="1"/>
    </row>
    <row r="710" spans="7:7" ht="13.2" x14ac:dyDescent="0.25">
      <c r="G710" s="1"/>
    </row>
    <row r="711" spans="7:7" ht="13.2" x14ac:dyDescent="0.25">
      <c r="G711" s="1"/>
    </row>
    <row r="712" spans="7:7" ht="13.2" x14ac:dyDescent="0.25">
      <c r="G712" s="1"/>
    </row>
    <row r="713" spans="7:7" ht="13.2" x14ac:dyDescent="0.25">
      <c r="G713" s="1"/>
    </row>
    <row r="714" spans="7:7" ht="13.2" x14ac:dyDescent="0.25">
      <c r="G714" s="1"/>
    </row>
    <row r="715" spans="7:7" ht="13.2" x14ac:dyDescent="0.25">
      <c r="G715" s="1"/>
    </row>
    <row r="716" spans="7:7" ht="13.2" x14ac:dyDescent="0.25">
      <c r="G716" s="1"/>
    </row>
    <row r="717" spans="7:7" ht="13.2" x14ac:dyDescent="0.25">
      <c r="G717" s="1"/>
    </row>
    <row r="718" spans="7:7" ht="13.2" x14ac:dyDescent="0.25">
      <c r="G718" s="1"/>
    </row>
    <row r="719" spans="7:7" ht="13.2" x14ac:dyDescent="0.25">
      <c r="G719" s="1"/>
    </row>
    <row r="720" spans="7:7" ht="13.2" x14ac:dyDescent="0.25">
      <c r="G720" s="1"/>
    </row>
    <row r="721" spans="7:7" ht="13.2" x14ac:dyDescent="0.25">
      <c r="G721" s="1"/>
    </row>
    <row r="722" spans="7:7" ht="13.2" x14ac:dyDescent="0.25">
      <c r="G722" s="1"/>
    </row>
    <row r="723" spans="7:7" ht="13.2" x14ac:dyDescent="0.25">
      <c r="G723" s="1"/>
    </row>
    <row r="724" spans="7:7" ht="13.2" x14ac:dyDescent="0.25">
      <c r="G724" s="1"/>
    </row>
    <row r="725" spans="7:7" ht="13.2" x14ac:dyDescent="0.25">
      <c r="G725" s="1"/>
    </row>
    <row r="726" spans="7:7" ht="13.2" x14ac:dyDescent="0.25">
      <c r="G726" s="1"/>
    </row>
    <row r="727" spans="7:7" ht="13.2" x14ac:dyDescent="0.25">
      <c r="G727" s="1"/>
    </row>
    <row r="728" spans="7:7" ht="13.2" x14ac:dyDescent="0.25">
      <c r="G728" s="1"/>
    </row>
    <row r="729" spans="7:7" ht="13.2" x14ac:dyDescent="0.25">
      <c r="G729" s="1"/>
    </row>
    <row r="730" spans="7:7" ht="13.2" x14ac:dyDescent="0.25">
      <c r="G730" s="1"/>
    </row>
    <row r="731" spans="7:7" ht="13.2" x14ac:dyDescent="0.25">
      <c r="G731" s="1"/>
    </row>
    <row r="732" spans="7:7" ht="13.2" x14ac:dyDescent="0.25">
      <c r="G732" s="1"/>
    </row>
    <row r="733" spans="7:7" ht="13.2" x14ac:dyDescent="0.25">
      <c r="G733" s="1"/>
    </row>
    <row r="734" spans="7:7" ht="13.2" x14ac:dyDescent="0.25">
      <c r="G734" s="1"/>
    </row>
    <row r="735" spans="7:7" ht="13.2" x14ac:dyDescent="0.25">
      <c r="G735" s="1"/>
    </row>
    <row r="736" spans="7:7" ht="13.2" x14ac:dyDescent="0.25">
      <c r="G736" s="1"/>
    </row>
    <row r="737" spans="7:7" ht="13.2" x14ac:dyDescent="0.25">
      <c r="G737" s="1"/>
    </row>
    <row r="738" spans="7:7" ht="13.2" x14ac:dyDescent="0.25">
      <c r="G738" s="1"/>
    </row>
    <row r="739" spans="7:7" ht="13.2" x14ac:dyDescent="0.25">
      <c r="G739" s="1"/>
    </row>
    <row r="740" spans="7:7" ht="13.2" x14ac:dyDescent="0.25">
      <c r="G740" s="1"/>
    </row>
    <row r="741" spans="7:7" ht="13.2" x14ac:dyDescent="0.25">
      <c r="G741" s="1"/>
    </row>
    <row r="742" spans="7:7" ht="13.2" x14ac:dyDescent="0.25">
      <c r="G742" s="1"/>
    </row>
    <row r="743" spans="7:7" ht="13.2" x14ac:dyDescent="0.25">
      <c r="G743" s="1"/>
    </row>
    <row r="744" spans="7:7" ht="13.2" x14ac:dyDescent="0.25">
      <c r="G744" s="1"/>
    </row>
    <row r="745" spans="7:7" ht="13.2" x14ac:dyDescent="0.25">
      <c r="G745" s="1"/>
    </row>
    <row r="746" spans="7:7" ht="13.2" x14ac:dyDescent="0.25">
      <c r="G746" s="1"/>
    </row>
    <row r="747" spans="7:7" ht="13.2" x14ac:dyDescent="0.25">
      <c r="G747" s="1"/>
    </row>
    <row r="748" spans="7:7" ht="13.2" x14ac:dyDescent="0.25">
      <c r="G748" s="1"/>
    </row>
    <row r="749" spans="7:7" ht="13.2" x14ac:dyDescent="0.25">
      <c r="G749" s="1"/>
    </row>
    <row r="750" spans="7:7" ht="13.2" x14ac:dyDescent="0.25">
      <c r="G750" s="1"/>
    </row>
    <row r="751" spans="7:7" ht="13.2" x14ac:dyDescent="0.25">
      <c r="G751" s="1"/>
    </row>
    <row r="752" spans="7:7" ht="13.2" x14ac:dyDescent="0.25">
      <c r="G752" s="1"/>
    </row>
    <row r="753" spans="7:7" ht="13.2" x14ac:dyDescent="0.25">
      <c r="G753" s="1"/>
    </row>
    <row r="754" spans="7:7" ht="13.2" x14ac:dyDescent="0.25">
      <c r="G754" s="1"/>
    </row>
    <row r="755" spans="7:7" ht="13.2" x14ac:dyDescent="0.25">
      <c r="G755" s="1"/>
    </row>
    <row r="756" spans="7:7" ht="13.2" x14ac:dyDescent="0.25">
      <c r="G756" s="1"/>
    </row>
    <row r="757" spans="7:7" ht="13.2" x14ac:dyDescent="0.25">
      <c r="G757" s="1"/>
    </row>
    <row r="758" spans="7:7" ht="13.2" x14ac:dyDescent="0.25">
      <c r="G758" s="1"/>
    </row>
    <row r="759" spans="7:7" ht="13.2" x14ac:dyDescent="0.25">
      <c r="G759" s="1"/>
    </row>
    <row r="760" spans="7:7" ht="13.2" x14ac:dyDescent="0.25">
      <c r="G760" s="1"/>
    </row>
    <row r="761" spans="7:7" ht="13.2" x14ac:dyDescent="0.25">
      <c r="G761" s="1"/>
    </row>
    <row r="762" spans="7:7" ht="13.2" x14ac:dyDescent="0.25">
      <c r="G762" s="1"/>
    </row>
    <row r="763" spans="7:7" ht="13.2" x14ac:dyDescent="0.25">
      <c r="G763" s="1"/>
    </row>
    <row r="764" spans="7:7" ht="13.2" x14ac:dyDescent="0.25">
      <c r="G764" s="1"/>
    </row>
    <row r="765" spans="7:7" ht="13.2" x14ac:dyDescent="0.25">
      <c r="G765" s="1"/>
    </row>
    <row r="766" spans="7:7" ht="13.2" x14ac:dyDescent="0.25">
      <c r="G766" s="1"/>
    </row>
    <row r="767" spans="7:7" ht="13.2" x14ac:dyDescent="0.25">
      <c r="G767" s="1"/>
    </row>
    <row r="768" spans="7:7" ht="13.2" x14ac:dyDescent="0.25">
      <c r="G768" s="1"/>
    </row>
    <row r="769" spans="7:7" ht="13.2" x14ac:dyDescent="0.25">
      <c r="G769" s="1"/>
    </row>
    <row r="770" spans="7:7" ht="13.2" x14ac:dyDescent="0.25">
      <c r="G770" s="1"/>
    </row>
    <row r="771" spans="7:7" ht="13.2" x14ac:dyDescent="0.25">
      <c r="G771" s="1"/>
    </row>
    <row r="772" spans="7:7" ht="13.2" x14ac:dyDescent="0.25">
      <c r="G772" s="1"/>
    </row>
    <row r="773" spans="7:7" ht="13.2" x14ac:dyDescent="0.25">
      <c r="G773" s="1"/>
    </row>
    <row r="774" spans="7:7" ht="13.2" x14ac:dyDescent="0.25">
      <c r="G774" s="1"/>
    </row>
    <row r="775" spans="7:7" ht="13.2" x14ac:dyDescent="0.25">
      <c r="G775" s="1"/>
    </row>
    <row r="776" spans="7:7" ht="13.2" x14ac:dyDescent="0.25">
      <c r="G776" s="1"/>
    </row>
    <row r="777" spans="7:7" ht="13.2" x14ac:dyDescent="0.25">
      <c r="G777" s="1"/>
    </row>
    <row r="778" spans="7:7" ht="13.2" x14ac:dyDescent="0.25">
      <c r="G778" s="1"/>
    </row>
    <row r="779" spans="7:7" ht="13.2" x14ac:dyDescent="0.25">
      <c r="G779" s="1"/>
    </row>
    <row r="780" spans="7:7" ht="13.2" x14ac:dyDescent="0.25">
      <c r="G780" s="1"/>
    </row>
    <row r="781" spans="7:7" ht="13.2" x14ac:dyDescent="0.25">
      <c r="G781" s="1"/>
    </row>
    <row r="782" spans="7:7" ht="13.2" x14ac:dyDescent="0.25">
      <c r="G782" s="1"/>
    </row>
    <row r="783" spans="7:7" ht="13.2" x14ac:dyDescent="0.25">
      <c r="G783" s="1"/>
    </row>
    <row r="784" spans="7:7" ht="13.2" x14ac:dyDescent="0.25">
      <c r="G784" s="1"/>
    </row>
    <row r="785" spans="7:7" ht="13.2" x14ac:dyDescent="0.25">
      <c r="G785" s="1"/>
    </row>
    <row r="786" spans="7:7" ht="13.2" x14ac:dyDescent="0.25">
      <c r="G786" s="1"/>
    </row>
    <row r="787" spans="7:7" ht="13.2" x14ac:dyDescent="0.25">
      <c r="G787" s="1"/>
    </row>
    <row r="788" spans="7:7" ht="13.2" x14ac:dyDescent="0.25">
      <c r="G788" s="1"/>
    </row>
    <row r="789" spans="7:7" ht="13.2" x14ac:dyDescent="0.25">
      <c r="G789" s="1"/>
    </row>
    <row r="790" spans="7:7" ht="13.2" x14ac:dyDescent="0.25">
      <c r="G790" s="1"/>
    </row>
    <row r="791" spans="7:7" ht="13.2" x14ac:dyDescent="0.25">
      <c r="G791" s="1"/>
    </row>
    <row r="792" spans="7:7" ht="13.2" x14ac:dyDescent="0.25">
      <c r="G792" s="1"/>
    </row>
    <row r="793" spans="7:7" ht="13.2" x14ac:dyDescent="0.25">
      <c r="G793" s="1"/>
    </row>
    <row r="794" spans="7:7" ht="13.2" x14ac:dyDescent="0.25">
      <c r="G794" s="1"/>
    </row>
    <row r="795" spans="7:7" ht="13.2" x14ac:dyDescent="0.25">
      <c r="G795" s="1"/>
    </row>
    <row r="796" spans="7:7" ht="13.2" x14ac:dyDescent="0.25">
      <c r="G796" s="1"/>
    </row>
    <row r="797" spans="7:7" ht="13.2" x14ac:dyDescent="0.25">
      <c r="G797" s="1"/>
    </row>
    <row r="798" spans="7:7" ht="13.2" x14ac:dyDescent="0.25">
      <c r="G798" s="1"/>
    </row>
    <row r="799" spans="7:7" ht="13.2" x14ac:dyDescent="0.25">
      <c r="G799" s="1"/>
    </row>
    <row r="800" spans="7:7" ht="13.2" x14ac:dyDescent="0.25">
      <c r="G800" s="1"/>
    </row>
    <row r="801" spans="7:7" ht="13.2" x14ac:dyDescent="0.25">
      <c r="G801" s="1"/>
    </row>
    <row r="802" spans="7:7" ht="13.2" x14ac:dyDescent="0.25">
      <c r="G802" s="1"/>
    </row>
    <row r="803" spans="7:7" ht="13.2" x14ac:dyDescent="0.25">
      <c r="G803" s="1"/>
    </row>
    <row r="804" spans="7:7" ht="13.2" x14ac:dyDescent="0.25">
      <c r="G804" s="1"/>
    </row>
    <row r="805" spans="7:7" ht="13.2" x14ac:dyDescent="0.25">
      <c r="G805" s="1"/>
    </row>
    <row r="806" spans="7:7" ht="13.2" x14ac:dyDescent="0.25">
      <c r="G806" s="1"/>
    </row>
    <row r="807" spans="7:7" ht="13.2" x14ac:dyDescent="0.25">
      <c r="G807" s="1"/>
    </row>
    <row r="808" spans="7:7" ht="13.2" x14ac:dyDescent="0.25">
      <c r="G808" s="1"/>
    </row>
    <row r="809" spans="7:7" ht="13.2" x14ac:dyDescent="0.25">
      <c r="G809" s="1"/>
    </row>
    <row r="810" spans="7:7" ht="13.2" x14ac:dyDescent="0.25">
      <c r="G810" s="1"/>
    </row>
    <row r="811" spans="7:7" ht="13.2" x14ac:dyDescent="0.25">
      <c r="G811" s="1"/>
    </row>
    <row r="812" spans="7:7" ht="13.2" x14ac:dyDescent="0.25">
      <c r="G812" s="1"/>
    </row>
    <row r="813" spans="7:7" ht="13.2" x14ac:dyDescent="0.25">
      <c r="G813" s="1"/>
    </row>
    <row r="814" spans="7:7" ht="13.2" x14ac:dyDescent="0.25">
      <c r="G814" s="1"/>
    </row>
    <row r="815" spans="7:7" ht="13.2" x14ac:dyDescent="0.25">
      <c r="G815" s="1"/>
    </row>
    <row r="816" spans="7:7" ht="13.2" x14ac:dyDescent="0.25">
      <c r="G816" s="1"/>
    </row>
    <row r="817" spans="7:7" ht="13.2" x14ac:dyDescent="0.25">
      <c r="G817" s="1"/>
    </row>
    <row r="818" spans="7:7" ht="13.2" x14ac:dyDescent="0.25">
      <c r="G818" s="1"/>
    </row>
    <row r="819" spans="7:7" ht="13.2" x14ac:dyDescent="0.25">
      <c r="G819" s="1"/>
    </row>
    <row r="820" spans="7:7" ht="13.2" x14ac:dyDescent="0.25">
      <c r="G820" s="1"/>
    </row>
    <row r="821" spans="7:7" ht="13.2" x14ac:dyDescent="0.25">
      <c r="G821" s="1"/>
    </row>
    <row r="822" spans="7:7" ht="13.2" x14ac:dyDescent="0.25">
      <c r="G822" s="1"/>
    </row>
    <row r="823" spans="7:7" ht="13.2" x14ac:dyDescent="0.25">
      <c r="G823" s="1"/>
    </row>
    <row r="824" spans="7:7" ht="13.2" x14ac:dyDescent="0.25">
      <c r="G824" s="1"/>
    </row>
    <row r="825" spans="7:7" ht="13.2" x14ac:dyDescent="0.25">
      <c r="G825" s="1"/>
    </row>
    <row r="826" spans="7:7" ht="13.2" x14ac:dyDescent="0.25">
      <c r="G826" s="1"/>
    </row>
    <row r="827" spans="7:7" ht="13.2" x14ac:dyDescent="0.25">
      <c r="G827" s="1"/>
    </row>
    <row r="828" spans="7:7" ht="13.2" x14ac:dyDescent="0.25">
      <c r="G828" s="1"/>
    </row>
    <row r="829" spans="7:7" ht="13.2" x14ac:dyDescent="0.25">
      <c r="G829" s="1"/>
    </row>
    <row r="830" spans="7:7" ht="13.2" x14ac:dyDescent="0.25">
      <c r="G830" s="1"/>
    </row>
    <row r="831" spans="7:7" ht="13.2" x14ac:dyDescent="0.25">
      <c r="G831" s="1"/>
    </row>
    <row r="832" spans="7:7" ht="13.2" x14ac:dyDescent="0.25">
      <c r="G832" s="1"/>
    </row>
    <row r="833" spans="7:7" ht="13.2" x14ac:dyDescent="0.25">
      <c r="G833" s="1"/>
    </row>
    <row r="834" spans="7:7" ht="13.2" x14ac:dyDescent="0.25">
      <c r="G834" s="1"/>
    </row>
    <row r="835" spans="7:7" ht="13.2" x14ac:dyDescent="0.25">
      <c r="G835" s="1"/>
    </row>
    <row r="836" spans="7:7" ht="13.2" x14ac:dyDescent="0.25">
      <c r="G836" s="1"/>
    </row>
    <row r="837" spans="7:7" ht="13.2" x14ac:dyDescent="0.25">
      <c r="G837" s="1"/>
    </row>
    <row r="838" spans="7:7" ht="13.2" x14ac:dyDescent="0.25">
      <c r="G838" s="1"/>
    </row>
    <row r="839" spans="7:7" ht="13.2" x14ac:dyDescent="0.25">
      <c r="G839" s="1"/>
    </row>
    <row r="840" spans="7:7" ht="13.2" x14ac:dyDescent="0.25">
      <c r="G840" s="1"/>
    </row>
    <row r="841" spans="7:7" ht="13.2" x14ac:dyDescent="0.25">
      <c r="G841" s="1"/>
    </row>
    <row r="842" spans="7:7" ht="13.2" x14ac:dyDescent="0.25">
      <c r="G842" s="1"/>
    </row>
    <row r="843" spans="7:7" ht="13.2" x14ac:dyDescent="0.25">
      <c r="G843" s="1"/>
    </row>
    <row r="844" spans="7:7" ht="13.2" x14ac:dyDescent="0.25">
      <c r="G844" s="1"/>
    </row>
    <row r="845" spans="7:7" ht="13.2" x14ac:dyDescent="0.25">
      <c r="G845" s="1"/>
    </row>
    <row r="846" spans="7:7" ht="13.2" x14ac:dyDescent="0.25">
      <c r="G846" s="1"/>
    </row>
    <row r="847" spans="7:7" ht="13.2" x14ac:dyDescent="0.25">
      <c r="G847" s="1"/>
    </row>
    <row r="848" spans="7:7" ht="13.2" x14ac:dyDescent="0.25">
      <c r="G848" s="1"/>
    </row>
    <row r="849" spans="7:7" ht="13.2" x14ac:dyDescent="0.25">
      <c r="G849" s="1"/>
    </row>
    <row r="850" spans="7:7" ht="13.2" x14ac:dyDescent="0.25">
      <c r="G850" s="1"/>
    </row>
    <row r="851" spans="7:7" ht="13.2" x14ac:dyDescent="0.25">
      <c r="G851" s="1"/>
    </row>
    <row r="852" spans="7:7" ht="13.2" x14ac:dyDescent="0.25">
      <c r="G852" s="1"/>
    </row>
    <row r="853" spans="7:7" ht="13.2" x14ac:dyDescent="0.25">
      <c r="G853" s="1"/>
    </row>
    <row r="854" spans="7:7" ht="13.2" x14ac:dyDescent="0.25">
      <c r="G854" s="1"/>
    </row>
    <row r="855" spans="7:7" ht="13.2" x14ac:dyDescent="0.25">
      <c r="G855" s="1"/>
    </row>
    <row r="856" spans="7:7" ht="13.2" x14ac:dyDescent="0.25">
      <c r="G856" s="1"/>
    </row>
    <row r="857" spans="7:7" ht="13.2" x14ac:dyDescent="0.25">
      <c r="G857" s="1"/>
    </row>
    <row r="858" spans="7:7" ht="13.2" x14ac:dyDescent="0.25">
      <c r="G858" s="1"/>
    </row>
    <row r="859" spans="7:7" ht="13.2" x14ac:dyDescent="0.25">
      <c r="G859" s="1"/>
    </row>
    <row r="860" spans="7:7" ht="13.2" x14ac:dyDescent="0.25">
      <c r="G860" s="1"/>
    </row>
    <row r="861" spans="7:7" ht="13.2" x14ac:dyDescent="0.25">
      <c r="G861" s="1"/>
    </row>
    <row r="862" spans="7:7" ht="13.2" x14ac:dyDescent="0.25">
      <c r="G862" s="1"/>
    </row>
    <row r="863" spans="7:7" ht="13.2" x14ac:dyDescent="0.25">
      <c r="G863" s="1"/>
    </row>
    <row r="864" spans="7:7" ht="13.2" x14ac:dyDescent="0.25">
      <c r="G864" s="1"/>
    </row>
    <row r="865" spans="7:7" ht="13.2" x14ac:dyDescent="0.25">
      <c r="G865" s="1"/>
    </row>
    <row r="866" spans="7:7" ht="13.2" x14ac:dyDescent="0.25">
      <c r="G866" s="1"/>
    </row>
    <row r="867" spans="7:7" ht="13.2" x14ac:dyDescent="0.25">
      <c r="G867" s="1"/>
    </row>
    <row r="868" spans="7:7" ht="13.2" x14ac:dyDescent="0.25">
      <c r="G868" s="1"/>
    </row>
    <row r="869" spans="7:7" ht="13.2" x14ac:dyDescent="0.25">
      <c r="G869" s="1"/>
    </row>
    <row r="870" spans="7:7" ht="13.2" x14ac:dyDescent="0.25">
      <c r="G870" s="1"/>
    </row>
    <row r="871" spans="7:7" ht="13.2" x14ac:dyDescent="0.25">
      <c r="G871" s="1"/>
    </row>
    <row r="872" spans="7:7" ht="13.2" x14ac:dyDescent="0.25">
      <c r="G872" s="1"/>
    </row>
    <row r="873" spans="7:7" ht="13.2" x14ac:dyDescent="0.25">
      <c r="G873" s="1"/>
    </row>
    <row r="874" spans="7:7" ht="13.2" x14ac:dyDescent="0.25">
      <c r="G874" s="1"/>
    </row>
    <row r="875" spans="7:7" ht="13.2" x14ac:dyDescent="0.25">
      <c r="G875" s="1"/>
    </row>
    <row r="876" spans="7:7" ht="13.2" x14ac:dyDescent="0.25">
      <c r="G876" s="1"/>
    </row>
    <row r="877" spans="7:7" ht="13.2" x14ac:dyDescent="0.25">
      <c r="G877" s="1"/>
    </row>
    <row r="878" spans="7:7" ht="13.2" x14ac:dyDescent="0.25">
      <c r="G878" s="1"/>
    </row>
    <row r="879" spans="7:7" ht="13.2" x14ac:dyDescent="0.25">
      <c r="G879" s="1"/>
    </row>
    <row r="880" spans="7:7" ht="13.2" x14ac:dyDescent="0.25">
      <c r="G880" s="1"/>
    </row>
    <row r="881" spans="7:7" ht="13.2" x14ac:dyDescent="0.25">
      <c r="G881" s="1"/>
    </row>
    <row r="882" spans="7:7" ht="13.2" x14ac:dyDescent="0.25">
      <c r="G882" s="1"/>
    </row>
    <row r="883" spans="7:7" ht="13.2" x14ac:dyDescent="0.25">
      <c r="G883" s="1"/>
    </row>
    <row r="884" spans="7:7" ht="13.2" x14ac:dyDescent="0.25">
      <c r="G884" s="1"/>
    </row>
    <row r="885" spans="7:7" ht="13.2" x14ac:dyDescent="0.25">
      <c r="G885" s="1"/>
    </row>
    <row r="886" spans="7:7" ht="13.2" x14ac:dyDescent="0.25">
      <c r="G886" s="1"/>
    </row>
    <row r="887" spans="7:7" ht="13.2" x14ac:dyDescent="0.25">
      <c r="G887" s="1"/>
    </row>
    <row r="888" spans="7:7" ht="13.2" x14ac:dyDescent="0.25">
      <c r="G888" s="1"/>
    </row>
    <row r="889" spans="7:7" ht="13.2" x14ac:dyDescent="0.25">
      <c r="G889" s="1"/>
    </row>
    <row r="890" spans="7:7" ht="13.2" x14ac:dyDescent="0.25">
      <c r="G890" s="1"/>
    </row>
    <row r="891" spans="7:7" ht="13.2" x14ac:dyDescent="0.25">
      <c r="G891" s="1"/>
    </row>
    <row r="892" spans="7:7" ht="13.2" x14ac:dyDescent="0.25">
      <c r="G892" s="1"/>
    </row>
    <row r="893" spans="7:7" ht="13.2" x14ac:dyDescent="0.25">
      <c r="G893" s="1"/>
    </row>
    <row r="894" spans="7:7" ht="13.2" x14ac:dyDescent="0.25">
      <c r="G894" s="1"/>
    </row>
    <row r="895" spans="7:7" ht="13.2" x14ac:dyDescent="0.25">
      <c r="G895" s="1"/>
    </row>
    <row r="896" spans="7:7" ht="13.2" x14ac:dyDescent="0.25">
      <c r="G896" s="1"/>
    </row>
    <row r="897" spans="7:7" ht="13.2" x14ac:dyDescent="0.25">
      <c r="G897" s="1"/>
    </row>
    <row r="898" spans="7:7" ht="13.2" x14ac:dyDescent="0.25">
      <c r="G898" s="1"/>
    </row>
    <row r="899" spans="7:7" ht="13.2" x14ac:dyDescent="0.25">
      <c r="G899" s="1"/>
    </row>
    <row r="900" spans="7:7" ht="13.2" x14ac:dyDescent="0.25">
      <c r="G900" s="1"/>
    </row>
    <row r="901" spans="7:7" ht="13.2" x14ac:dyDescent="0.25">
      <c r="G901" s="1"/>
    </row>
    <row r="902" spans="7:7" ht="13.2" x14ac:dyDescent="0.25">
      <c r="G902" s="1"/>
    </row>
    <row r="903" spans="7:7" ht="13.2" x14ac:dyDescent="0.25">
      <c r="G903" s="1"/>
    </row>
    <row r="904" spans="7:7" ht="13.2" x14ac:dyDescent="0.25">
      <c r="G904" s="1"/>
    </row>
    <row r="905" spans="7:7" ht="13.2" x14ac:dyDescent="0.25">
      <c r="G905" s="1"/>
    </row>
    <row r="906" spans="7:7" ht="13.2" x14ac:dyDescent="0.25">
      <c r="G906" s="1"/>
    </row>
    <row r="907" spans="7:7" ht="13.2" x14ac:dyDescent="0.25">
      <c r="G907" s="1"/>
    </row>
    <row r="908" spans="7:7" ht="13.2" x14ac:dyDescent="0.25">
      <c r="G908" s="1"/>
    </row>
    <row r="909" spans="7:7" ht="13.2" x14ac:dyDescent="0.25">
      <c r="G909" s="1"/>
    </row>
    <row r="910" spans="7:7" ht="13.2" x14ac:dyDescent="0.25">
      <c r="G910" s="1"/>
    </row>
    <row r="911" spans="7:7" ht="13.2" x14ac:dyDescent="0.25">
      <c r="G911" s="1"/>
    </row>
    <row r="912" spans="7:7" ht="13.2" x14ac:dyDescent="0.25">
      <c r="G912" s="1"/>
    </row>
    <row r="913" spans="7:7" ht="13.2" x14ac:dyDescent="0.25">
      <c r="G913" s="1"/>
    </row>
    <row r="914" spans="7:7" ht="13.2" x14ac:dyDescent="0.25">
      <c r="G914" s="1"/>
    </row>
    <row r="915" spans="7:7" ht="13.2" x14ac:dyDescent="0.25">
      <c r="G915" s="1"/>
    </row>
    <row r="916" spans="7:7" ht="13.2" x14ac:dyDescent="0.25">
      <c r="G916" s="1"/>
    </row>
    <row r="917" spans="7:7" ht="13.2" x14ac:dyDescent="0.25">
      <c r="G917" s="1"/>
    </row>
    <row r="918" spans="7:7" ht="13.2" x14ac:dyDescent="0.25">
      <c r="G918" s="1"/>
    </row>
    <row r="919" spans="7:7" ht="13.2" x14ac:dyDescent="0.25">
      <c r="G919" s="1"/>
    </row>
    <row r="920" spans="7:7" ht="13.2" x14ac:dyDescent="0.25">
      <c r="G920" s="1"/>
    </row>
    <row r="921" spans="7:7" ht="13.2" x14ac:dyDescent="0.25">
      <c r="G921" s="1"/>
    </row>
    <row r="922" spans="7:7" ht="13.2" x14ac:dyDescent="0.25">
      <c r="G922" s="1"/>
    </row>
    <row r="923" spans="7:7" ht="13.2" x14ac:dyDescent="0.25">
      <c r="G923" s="1"/>
    </row>
    <row r="924" spans="7:7" ht="13.2" x14ac:dyDescent="0.25">
      <c r="G924" s="1"/>
    </row>
    <row r="925" spans="7:7" ht="13.2" x14ac:dyDescent="0.25">
      <c r="G925" s="1"/>
    </row>
    <row r="926" spans="7:7" ht="13.2" x14ac:dyDescent="0.25">
      <c r="G926" s="1"/>
    </row>
    <row r="927" spans="7:7" ht="13.2" x14ac:dyDescent="0.25">
      <c r="G927" s="1"/>
    </row>
    <row r="928" spans="7:7" ht="13.2" x14ac:dyDescent="0.25">
      <c r="G928" s="1"/>
    </row>
    <row r="929" spans="7:7" ht="13.2" x14ac:dyDescent="0.25">
      <c r="G929" s="1"/>
    </row>
    <row r="930" spans="7:7" ht="13.2" x14ac:dyDescent="0.25">
      <c r="G930" s="1"/>
    </row>
    <row r="931" spans="7:7" ht="13.2" x14ac:dyDescent="0.25">
      <c r="G931" s="1"/>
    </row>
    <row r="932" spans="7:7" ht="13.2" x14ac:dyDescent="0.25">
      <c r="G932" s="1"/>
    </row>
    <row r="933" spans="7:7" ht="13.2" x14ac:dyDescent="0.25">
      <c r="G933" s="1"/>
    </row>
    <row r="934" spans="7:7" ht="13.2" x14ac:dyDescent="0.25">
      <c r="G934" s="1"/>
    </row>
    <row r="935" spans="7:7" ht="13.2" x14ac:dyDescent="0.25">
      <c r="G935" s="1"/>
    </row>
    <row r="936" spans="7:7" ht="13.2" x14ac:dyDescent="0.25">
      <c r="G936" s="1"/>
    </row>
    <row r="937" spans="7:7" ht="13.2" x14ac:dyDescent="0.25">
      <c r="G937" s="1"/>
    </row>
    <row r="938" spans="7:7" ht="13.2" x14ac:dyDescent="0.25">
      <c r="G938" s="1"/>
    </row>
    <row r="939" spans="7:7" ht="13.2" x14ac:dyDescent="0.25">
      <c r="G939" s="1"/>
    </row>
    <row r="940" spans="7:7" ht="13.2" x14ac:dyDescent="0.25">
      <c r="G940" s="1"/>
    </row>
    <row r="941" spans="7:7" ht="13.2" x14ac:dyDescent="0.25">
      <c r="G941" s="1"/>
    </row>
    <row r="942" spans="7:7" ht="13.2" x14ac:dyDescent="0.25">
      <c r="G942" s="1"/>
    </row>
    <row r="943" spans="7:7" ht="13.2" x14ac:dyDescent="0.25">
      <c r="G943" s="1"/>
    </row>
    <row r="944" spans="7:7" ht="13.2" x14ac:dyDescent="0.25">
      <c r="G944" s="1"/>
    </row>
    <row r="945" spans="7:7" ht="13.2" x14ac:dyDescent="0.25">
      <c r="G945" s="1"/>
    </row>
    <row r="946" spans="7:7" ht="13.2" x14ac:dyDescent="0.25">
      <c r="G946" s="1"/>
    </row>
    <row r="947" spans="7:7" ht="13.2" x14ac:dyDescent="0.25">
      <c r="G947" s="1"/>
    </row>
    <row r="948" spans="7:7" ht="13.2" x14ac:dyDescent="0.25">
      <c r="G948" s="1"/>
    </row>
    <row r="949" spans="7:7" ht="13.2" x14ac:dyDescent="0.25">
      <c r="G949" s="1"/>
    </row>
    <row r="950" spans="7:7" ht="13.2" x14ac:dyDescent="0.25">
      <c r="G950" s="1"/>
    </row>
    <row r="951" spans="7:7" ht="13.2" x14ac:dyDescent="0.25">
      <c r="G951" s="1"/>
    </row>
    <row r="952" spans="7:7" ht="13.2" x14ac:dyDescent="0.25">
      <c r="G952" s="1"/>
    </row>
    <row r="953" spans="7:7" ht="13.2" x14ac:dyDescent="0.25">
      <c r="G953" s="1"/>
    </row>
    <row r="954" spans="7:7" ht="13.2" x14ac:dyDescent="0.25">
      <c r="G954" s="1"/>
    </row>
    <row r="955" spans="7:7" ht="13.2" x14ac:dyDescent="0.25">
      <c r="G955" s="1"/>
    </row>
    <row r="956" spans="7:7" ht="13.2" x14ac:dyDescent="0.25">
      <c r="G956" s="1"/>
    </row>
    <row r="957" spans="7:7" ht="13.2" x14ac:dyDescent="0.25">
      <c r="G957" s="1"/>
    </row>
    <row r="958" spans="7:7" ht="13.2" x14ac:dyDescent="0.25">
      <c r="G958" s="1"/>
    </row>
    <row r="959" spans="7:7" ht="13.2" x14ac:dyDescent="0.25">
      <c r="G959" s="1"/>
    </row>
    <row r="960" spans="7:7" ht="13.2" x14ac:dyDescent="0.25">
      <c r="G960" s="1"/>
    </row>
    <row r="961" spans="7:7" ht="13.2" x14ac:dyDescent="0.25">
      <c r="G961" s="1"/>
    </row>
    <row r="962" spans="7:7" ht="13.2" x14ac:dyDescent="0.25">
      <c r="G962" s="1"/>
    </row>
    <row r="963" spans="7:7" ht="13.2" x14ac:dyDescent="0.25">
      <c r="G963" s="1"/>
    </row>
    <row r="964" spans="7:7" ht="13.2" x14ac:dyDescent="0.25">
      <c r="G964" s="1"/>
    </row>
    <row r="965" spans="7:7" ht="13.2" x14ac:dyDescent="0.25">
      <c r="G965" s="1"/>
    </row>
    <row r="966" spans="7:7" ht="13.2" x14ac:dyDescent="0.25">
      <c r="G966" s="1"/>
    </row>
    <row r="967" spans="7:7" ht="13.2" x14ac:dyDescent="0.25">
      <c r="G967" s="1"/>
    </row>
    <row r="968" spans="7:7" ht="13.2" x14ac:dyDescent="0.25">
      <c r="G968" s="1"/>
    </row>
    <row r="969" spans="7:7" ht="13.2" x14ac:dyDescent="0.25">
      <c r="G969" s="1"/>
    </row>
    <row r="970" spans="7:7" ht="13.2" x14ac:dyDescent="0.25">
      <c r="G970" s="1"/>
    </row>
    <row r="971" spans="7:7" ht="13.2" x14ac:dyDescent="0.25">
      <c r="G971" s="1"/>
    </row>
    <row r="972" spans="7:7" ht="13.2" x14ac:dyDescent="0.25">
      <c r="G972" s="1"/>
    </row>
    <row r="973" spans="7:7" ht="13.2" x14ac:dyDescent="0.25">
      <c r="G973" s="1"/>
    </row>
    <row r="974" spans="7:7" ht="13.2" x14ac:dyDescent="0.25">
      <c r="G974" s="1"/>
    </row>
    <row r="975" spans="7:7" ht="13.2" x14ac:dyDescent="0.25">
      <c r="G975" s="1"/>
    </row>
    <row r="976" spans="7:7" ht="13.2" x14ac:dyDescent="0.25">
      <c r="G976" s="1"/>
    </row>
    <row r="977" spans="7:7" ht="13.2" x14ac:dyDescent="0.25">
      <c r="G977" s="1"/>
    </row>
    <row r="978" spans="7:7" ht="13.2" x14ac:dyDescent="0.25">
      <c r="G978" s="1"/>
    </row>
    <row r="979" spans="7:7" ht="13.2" x14ac:dyDescent="0.25">
      <c r="G979" s="1"/>
    </row>
    <row r="980" spans="7:7" ht="13.2" x14ac:dyDescent="0.25">
      <c r="G980" s="1"/>
    </row>
    <row r="981" spans="7:7" ht="13.2" x14ac:dyDescent="0.25">
      <c r="G981" s="1"/>
    </row>
    <row r="982" spans="7:7" ht="13.2" x14ac:dyDescent="0.25">
      <c r="G982" s="1"/>
    </row>
    <row r="983" spans="7:7" ht="13.2" x14ac:dyDescent="0.25">
      <c r="G983" s="1"/>
    </row>
    <row r="984" spans="7:7" ht="13.2" x14ac:dyDescent="0.25">
      <c r="G984" s="1"/>
    </row>
    <row r="985" spans="7:7" ht="13.2" x14ac:dyDescent="0.25">
      <c r="G985" s="1"/>
    </row>
    <row r="986" spans="7:7" ht="13.2" x14ac:dyDescent="0.25">
      <c r="G986" s="1"/>
    </row>
    <row r="987" spans="7:7" ht="13.2" x14ac:dyDescent="0.25">
      <c r="G987" s="1"/>
    </row>
    <row r="988" spans="7:7" ht="13.2" x14ac:dyDescent="0.25">
      <c r="G988" s="1"/>
    </row>
    <row r="989" spans="7:7" ht="13.2" x14ac:dyDescent="0.25">
      <c r="G989" s="1"/>
    </row>
    <row r="990" spans="7:7" ht="13.2" x14ac:dyDescent="0.25">
      <c r="G990" s="1"/>
    </row>
    <row r="991" spans="7:7" ht="13.2" x14ac:dyDescent="0.25">
      <c r="G991" s="1"/>
    </row>
    <row r="992" spans="7:7" ht="13.2" x14ac:dyDescent="0.25">
      <c r="G992" s="1"/>
    </row>
    <row r="993" spans="7:7" ht="13.2" x14ac:dyDescent="0.25">
      <c r="G993" s="1"/>
    </row>
    <row r="994" spans="7:7" ht="13.2" x14ac:dyDescent="0.25">
      <c r="G994" s="1"/>
    </row>
    <row r="995" spans="7:7" ht="13.2" x14ac:dyDescent="0.25">
      <c r="G995" s="1"/>
    </row>
    <row r="996" spans="7:7" ht="13.2" x14ac:dyDescent="0.25">
      <c r="G996" s="1"/>
    </row>
    <row r="997" spans="7:7" ht="13.2" x14ac:dyDescent="0.25">
      <c r="G997" s="1"/>
    </row>
    <row r="998" spans="7:7" ht="13.2" x14ac:dyDescent="0.25">
      <c r="G998" s="1"/>
    </row>
    <row r="999" spans="7:7" ht="13.2" x14ac:dyDescent="0.25">
      <c r="G999" s="1"/>
    </row>
    <row r="1000" spans="7:7" ht="13.2" x14ac:dyDescent="0.25">
      <c r="G1000" s="1"/>
    </row>
    <row r="1001" spans="7:7" ht="13.2" x14ac:dyDescent="0.25">
      <c r="G1001" s="1"/>
    </row>
    <row r="1002" spans="7:7" ht="13.2" x14ac:dyDescent="0.25">
      <c r="G1002" s="1"/>
    </row>
    <row r="1003" spans="7:7" ht="13.2" x14ac:dyDescent="0.25">
      <c r="G1003" s="1"/>
    </row>
    <row r="1004" spans="7:7" ht="13.2" x14ac:dyDescent="0.25">
      <c r="G1004" s="1"/>
    </row>
    <row r="1005" spans="7:7" ht="13.2" x14ac:dyDescent="0.25">
      <c r="G1005" s="1"/>
    </row>
    <row r="1006" spans="7:7" ht="13.2" x14ac:dyDescent="0.25">
      <c r="G1006" s="1"/>
    </row>
    <row r="1007" spans="7:7" ht="13.2" x14ac:dyDescent="0.25">
      <c r="G1007" s="1"/>
    </row>
    <row r="1008" spans="7:7" ht="13.2" x14ac:dyDescent="0.25">
      <c r="G1008" s="1"/>
    </row>
    <row r="1009" spans="7:7" ht="13.2" x14ac:dyDescent="0.25">
      <c r="G1009" s="1"/>
    </row>
    <row r="1010" spans="7:7" ht="13.2" x14ac:dyDescent="0.25">
      <c r="G1010" s="1"/>
    </row>
    <row r="1011" spans="7:7" ht="13.2" x14ac:dyDescent="0.25">
      <c r="G1011" s="1"/>
    </row>
    <row r="1012" spans="7:7" ht="13.2" x14ac:dyDescent="0.25">
      <c r="G1012" s="1"/>
    </row>
    <row r="1013" spans="7:7" ht="13.2" x14ac:dyDescent="0.25">
      <c r="G1013" s="1"/>
    </row>
    <row r="1014" spans="7:7" ht="13.2" x14ac:dyDescent="0.25">
      <c r="G1014" s="1"/>
    </row>
    <row r="1015" spans="7:7" ht="13.2" x14ac:dyDescent="0.25">
      <c r="G1015" s="1"/>
    </row>
    <row r="1016" spans="7:7" ht="13.2" x14ac:dyDescent="0.25">
      <c r="G1016" s="1"/>
    </row>
    <row r="1017" spans="7:7" ht="13.2" x14ac:dyDescent="0.25">
      <c r="G1017" s="1"/>
    </row>
    <row r="1018" spans="7:7" ht="13.2" x14ac:dyDescent="0.25">
      <c r="G1018" s="1"/>
    </row>
    <row r="1019" spans="7:7" ht="13.2" x14ac:dyDescent="0.25">
      <c r="G1019" s="1"/>
    </row>
    <row r="1020" spans="7:7" ht="13.2" x14ac:dyDescent="0.25">
      <c r="G1020" s="1"/>
    </row>
    <row r="1021" spans="7:7" ht="13.2" x14ac:dyDescent="0.25">
      <c r="G1021" s="1"/>
    </row>
    <row r="1022" spans="7:7" ht="13.2" x14ac:dyDescent="0.25">
      <c r="G1022" s="1"/>
    </row>
    <row r="1023" spans="7:7" ht="13.2" x14ac:dyDescent="0.25">
      <c r="G1023" s="1"/>
    </row>
    <row r="1024" spans="7:7" ht="13.2" x14ac:dyDescent="0.25">
      <c r="G1024" s="1"/>
    </row>
    <row r="1025" spans="7:7" ht="13.2" x14ac:dyDescent="0.25">
      <c r="G1025" s="1"/>
    </row>
    <row r="1026" spans="7:7" ht="13.2" x14ac:dyDescent="0.25">
      <c r="G1026" s="1"/>
    </row>
    <row r="1027" spans="7:7" ht="13.2" x14ac:dyDescent="0.25">
      <c r="G1027" s="1"/>
    </row>
    <row r="1028" spans="7:7" ht="13.2" x14ac:dyDescent="0.25">
      <c r="G1028" s="1"/>
    </row>
    <row r="1029" spans="7:7" ht="13.2" x14ac:dyDescent="0.25">
      <c r="G1029" s="1"/>
    </row>
    <row r="1030" spans="7:7" ht="13.2" x14ac:dyDescent="0.25">
      <c r="G1030" s="1"/>
    </row>
    <row r="1031" spans="7:7" ht="13.2" x14ac:dyDescent="0.25">
      <c r="G1031" s="1"/>
    </row>
    <row r="1032" spans="7:7" ht="13.2" x14ac:dyDescent="0.25">
      <c r="G1032" s="1"/>
    </row>
    <row r="1033" spans="7:7" ht="13.2" x14ac:dyDescent="0.25">
      <c r="G1033" s="1"/>
    </row>
    <row r="1034" spans="7:7" ht="13.2" x14ac:dyDescent="0.25">
      <c r="G1034" s="1"/>
    </row>
    <row r="1035" spans="7:7" ht="13.2" x14ac:dyDescent="0.25">
      <c r="G1035" s="1"/>
    </row>
    <row r="1036" spans="7:7" ht="13.2" x14ac:dyDescent="0.25">
      <c r="G1036" s="1"/>
    </row>
    <row r="1037" spans="7:7" ht="13.2" x14ac:dyDescent="0.25">
      <c r="G1037" s="1"/>
    </row>
    <row r="1038" spans="7:7" ht="13.2" x14ac:dyDescent="0.25">
      <c r="G1038" s="1"/>
    </row>
    <row r="1039" spans="7:7" ht="13.2" x14ac:dyDescent="0.25">
      <c r="G1039" s="1"/>
    </row>
    <row r="1040" spans="7:7" ht="13.2" x14ac:dyDescent="0.25">
      <c r="G1040" s="1"/>
    </row>
    <row r="1041" spans="7:7" ht="13.2" x14ac:dyDescent="0.25">
      <c r="G1041" s="1"/>
    </row>
    <row r="1042" spans="7:7" ht="13.2" x14ac:dyDescent="0.25">
      <c r="G1042" s="1"/>
    </row>
    <row r="1043" spans="7:7" ht="13.2" x14ac:dyDescent="0.25">
      <c r="G1043" s="1"/>
    </row>
    <row r="1044" spans="7:7" ht="13.2" x14ac:dyDescent="0.25">
      <c r="G1044" s="1"/>
    </row>
    <row r="1045" spans="7:7" ht="13.2" x14ac:dyDescent="0.25">
      <c r="G1045" s="1"/>
    </row>
    <row r="1046" spans="7:7" ht="13.2" x14ac:dyDescent="0.25">
      <c r="G1046" s="1"/>
    </row>
    <row r="1047" spans="7:7" ht="13.2" x14ac:dyDescent="0.25">
      <c r="G1047" s="1"/>
    </row>
    <row r="1048" spans="7:7" ht="13.2" x14ac:dyDescent="0.25">
      <c r="G1048" s="1"/>
    </row>
    <row r="1049" spans="7:7" ht="13.2" x14ac:dyDescent="0.25">
      <c r="G1049" s="1"/>
    </row>
    <row r="1050" spans="7:7" ht="13.2" x14ac:dyDescent="0.25">
      <c r="G1050" s="1"/>
    </row>
    <row r="1051" spans="7:7" ht="13.2" x14ac:dyDescent="0.25">
      <c r="G1051" s="1"/>
    </row>
    <row r="1052" spans="7:7" ht="13.2" x14ac:dyDescent="0.25">
      <c r="G1052" s="1"/>
    </row>
    <row r="1053" spans="7:7" ht="13.2" x14ac:dyDescent="0.25">
      <c r="G1053" s="1"/>
    </row>
    <row r="1054" spans="7:7" ht="13.2" x14ac:dyDescent="0.25">
      <c r="G1054" s="1"/>
    </row>
    <row r="1055" spans="7:7" ht="13.2" x14ac:dyDescent="0.25">
      <c r="G1055" s="1"/>
    </row>
    <row r="1056" spans="7:7" ht="13.2" x14ac:dyDescent="0.25">
      <c r="G1056" s="1"/>
    </row>
    <row r="1057" spans="7:7" ht="13.2" x14ac:dyDescent="0.25">
      <c r="G1057" s="1"/>
    </row>
    <row r="1058" spans="7:7" ht="13.2" x14ac:dyDescent="0.25">
      <c r="G1058" s="1"/>
    </row>
    <row r="1059" spans="7:7" ht="13.2" x14ac:dyDescent="0.25">
      <c r="G1059" s="1"/>
    </row>
    <row r="1060" spans="7:7" ht="13.2" x14ac:dyDescent="0.25">
      <c r="G1060" s="1"/>
    </row>
    <row r="1061" spans="7:7" ht="13.2" x14ac:dyDescent="0.25">
      <c r="G1061" s="1"/>
    </row>
    <row r="1062" spans="7:7" ht="13.2" x14ac:dyDescent="0.25">
      <c r="G1062" s="1"/>
    </row>
    <row r="1063" spans="7:7" ht="13.2" x14ac:dyDescent="0.25">
      <c r="G1063" s="1"/>
    </row>
    <row r="1064" spans="7:7" ht="13.2" x14ac:dyDescent="0.25">
      <c r="G1064" s="1"/>
    </row>
    <row r="1065" spans="7:7" ht="13.2" x14ac:dyDescent="0.25">
      <c r="G1065" s="1"/>
    </row>
    <row r="1066" spans="7:7" ht="13.2" x14ac:dyDescent="0.25">
      <c r="G1066" s="1"/>
    </row>
    <row r="1067" spans="7:7" ht="13.2" x14ac:dyDescent="0.25">
      <c r="G1067" s="1"/>
    </row>
    <row r="1068" spans="7:7" ht="13.2" x14ac:dyDescent="0.25">
      <c r="G1068" s="1"/>
    </row>
    <row r="1069" spans="7:7" ht="13.2" x14ac:dyDescent="0.25">
      <c r="G1069" s="1"/>
    </row>
    <row r="1070" spans="7:7" ht="13.2" x14ac:dyDescent="0.25">
      <c r="G1070" s="1"/>
    </row>
    <row r="1071" spans="7:7" ht="13.2" x14ac:dyDescent="0.25">
      <c r="G1071" s="1"/>
    </row>
    <row r="1072" spans="7:7" ht="13.2" x14ac:dyDescent="0.25">
      <c r="G1072" s="1"/>
    </row>
    <row r="1073" spans="7:7" ht="13.2" x14ac:dyDescent="0.25">
      <c r="G1073" s="1"/>
    </row>
    <row r="1074" spans="7:7" ht="13.2" x14ac:dyDescent="0.25">
      <c r="G1074" s="1"/>
    </row>
    <row r="1075" spans="7:7" ht="13.2" x14ac:dyDescent="0.25">
      <c r="G1075" s="1"/>
    </row>
    <row r="1076" spans="7:7" ht="13.2" x14ac:dyDescent="0.25">
      <c r="G1076" s="1"/>
    </row>
    <row r="1077" spans="7:7" ht="13.2" x14ac:dyDescent="0.25">
      <c r="G1077" s="1"/>
    </row>
    <row r="1078" spans="7:7" ht="13.2" x14ac:dyDescent="0.25">
      <c r="G1078" s="1"/>
    </row>
    <row r="1079" spans="7:7" ht="13.2" x14ac:dyDescent="0.25">
      <c r="G1079" s="1"/>
    </row>
    <row r="1080" spans="7:7" ht="13.2" x14ac:dyDescent="0.25">
      <c r="G1080" s="1"/>
    </row>
    <row r="1081" spans="7:7" ht="13.2" x14ac:dyDescent="0.25">
      <c r="G1081" s="1"/>
    </row>
    <row r="1082" spans="7:7" ht="13.2" x14ac:dyDescent="0.25">
      <c r="G1082" s="1"/>
    </row>
    <row r="1083" spans="7:7" ht="13.2" x14ac:dyDescent="0.25">
      <c r="G1083" s="1"/>
    </row>
    <row r="1084" spans="7:7" ht="13.2" x14ac:dyDescent="0.25">
      <c r="G1084" s="1"/>
    </row>
    <row r="1085" spans="7:7" ht="13.2" x14ac:dyDescent="0.25">
      <c r="G1085" s="1"/>
    </row>
    <row r="1086" spans="7:7" ht="13.2" x14ac:dyDescent="0.25">
      <c r="G1086" s="1"/>
    </row>
    <row r="1087" spans="7:7" ht="13.2" x14ac:dyDescent="0.25">
      <c r="G1087" s="1"/>
    </row>
    <row r="1088" spans="7:7" ht="13.2" x14ac:dyDescent="0.25">
      <c r="G1088" s="1"/>
    </row>
    <row r="1089" spans="7:7" ht="13.2" x14ac:dyDescent="0.25">
      <c r="G1089" s="1"/>
    </row>
    <row r="1090" spans="7:7" ht="13.2" x14ac:dyDescent="0.25">
      <c r="G1090" s="1"/>
    </row>
    <row r="1091" spans="7:7" ht="13.2" x14ac:dyDescent="0.25">
      <c r="G1091" s="1"/>
    </row>
    <row r="1092" spans="7:7" ht="13.2" x14ac:dyDescent="0.25">
      <c r="G1092" s="1"/>
    </row>
    <row r="1093" spans="7:7" ht="13.2" x14ac:dyDescent="0.25">
      <c r="G1093" s="1"/>
    </row>
    <row r="1094" spans="7:7" ht="13.2" x14ac:dyDescent="0.25">
      <c r="G1094" s="1"/>
    </row>
    <row r="1095" spans="7:7" ht="13.2" x14ac:dyDescent="0.25">
      <c r="G1095" s="1"/>
    </row>
    <row r="1096" spans="7:7" ht="13.2" x14ac:dyDescent="0.25">
      <c r="G1096" s="1"/>
    </row>
    <row r="1097" spans="7:7" ht="13.2" x14ac:dyDescent="0.25">
      <c r="G1097" s="1"/>
    </row>
    <row r="1098" spans="7:7" ht="13.2" x14ac:dyDescent="0.25">
      <c r="G1098" s="1"/>
    </row>
    <row r="1099" spans="7:7" ht="13.2" x14ac:dyDescent="0.25">
      <c r="G1099" s="1"/>
    </row>
    <row r="1100" spans="7:7" ht="13.2" x14ac:dyDescent="0.25">
      <c r="G1100" s="1"/>
    </row>
    <row r="1101" spans="7:7" ht="13.2" x14ac:dyDescent="0.25">
      <c r="G1101" s="1"/>
    </row>
    <row r="1102" spans="7:7" ht="13.2" x14ac:dyDescent="0.25">
      <c r="G1102" s="1"/>
    </row>
    <row r="1103" spans="7:7" ht="13.2" x14ac:dyDescent="0.25">
      <c r="G1103" s="1"/>
    </row>
    <row r="1104" spans="7:7" ht="13.2" x14ac:dyDescent="0.25">
      <c r="G1104" s="1"/>
    </row>
    <row r="1105" spans="7:7" ht="13.2" x14ac:dyDescent="0.25">
      <c r="G1105" s="1"/>
    </row>
    <row r="1106" spans="7:7" ht="13.2" x14ac:dyDescent="0.25">
      <c r="G1106" s="1"/>
    </row>
    <row r="1107" spans="7:7" ht="13.2" x14ac:dyDescent="0.25">
      <c r="G1107" s="1"/>
    </row>
    <row r="1108" spans="7:7" ht="13.2" x14ac:dyDescent="0.25">
      <c r="G1108" s="1"/>
    </row>
    <row r="1109" spans="7:7" ht="13.2" x14ac:dyDescent="0.25">
      <c r="G1109" s="1"/>
    </row>
    <row r="1110" spans="7:7" ht="13.2" x14ac:dyDescent="0.25">
      <c r="G1110" s="1"/>
    </row>
    <row r="1111" spans="7:7" ht="13.2" x14ac:dyDescent="0.25">
      <c r="G1111" s="1"/>
    </row>
    <row r="1112" spans="7:7" ht="13.2" x14ac:dyDescent="0.25">
      <c r="G1112" s="1"/>
    </row>
    <row r="1113" spans="7:7" ht="13.2" x14ac:dyDescent="0.25">
      <c r="G1113" s="1"/>
    </row>
    <row r="1114" spans="7:7" ht="13.2" x14ac:dyDescent="0.25">
      <c r="G1114" s="1"/>
    </row>
    <row r="1115" spans="7:7" ht="13.2" x14ac:dyDescent="0.25">
      <c r="G1115" s="1"/>
    </row>
    <row r="1116" spans="7:7" ht="13.2" x14ac:dyDescent="0.25">
      <c r="G1116" s="1"/>
    </row>
    <row r="1117" spans="7:7" ht="13.2" x14ac:dyDescent="0.25">
      <c r="G1117" s="1"/>
    </row>
    <row r="1118" spans="7:7" ht="13.2" x14ac:dyDescent="0.25">
      <c r="G1118" s="1"/>
    </row>
    <row r="1119" spans="7:7" ht="13.2" x14ac:dyDescent="0.25">
      <c r="G1119" s="1"/>
    </row>
    <row r="1120" spans="7:7" ht="13.2" x14ac:dyDescent="0.25">
      <c r="G1120" s="1"/>
    </row>
    <row r="1121" spans="7:7" ht="13.2" x14ac:dyDescent="0.25">
      <c r="G1121" s="1"/>
    </row>
    <row r="1122" spans="7:7" ht="13.2" x14ac:dyDescent="0.25">
      <c r="G1122" s="1"/>
    </row>
    <row r="1123" spans="7:7" ht="13.2" x14ac:dyDescent="0.25">
      <c r="G1123" s="1"/>
    </row>
    <row r="1124" spans="7:7" ht="13.2" x14ac:dyDescent="0.25">
      <c r="G1124" s="1"/>
    </row>
    <row r="1125" spans="7:7" ht="13.2" x14ac:dyDescent="0.25">
      <c r="G1125" s="1"/>
    </row>
    <row r="1126" spans="7:7" ht="13.2" x14ac:dyDescent="0.25">
      <c r="G1126" s="1"/>
    </row>
    <row r="1127" spans="7:7" ht="13.2" x14ac:dyDescent="0.25">
      <c r="G1127" s="1"/>
    </row>
    <row r="1128" spans="7:7" ht="13.2" x14ac:dyDescent="0.25">
      <c r="G1128" s="1"/>
    </row>
    <row r="1129" spans="7:7" ht="13.2" x14ac:dyDescent="0.25">
      <c r="G1129" s="1"/>
    </row>
    <row r="1130" spans="7:7" ht="13.2" x14ac:dyDescent="0.25">
      <c r="G1130" s="1"/>
    </row>
    <row r="1131" spans="7:7" ht="13.2" x14ac:dyDescent="0.25">
      <c r="G1131" s="1"/>
    </row>
    <row r="1132" spans="7:7" ht="13.2" x14ac:dyDescent="0.25">
      <c r="G1132" s="1"/>
    </row>
    <row r="1133" spans="7:7" ht="13.2" x14ac:dyDescent="0.25">
      <c r="G1133" s="1"/>
    </row>
    <row r="1134" spans="7:7" ht="13.2" x14ac:dyDescent="0.25">
      <c r="G1134" s="1"/>
    </row>
    <row r="1135" spans="7:7" ht="13.2" x14ac:dyDescent="0.25">
      <c r="G1135" s="1"/>
    </row>
    <row r="1136" spans="7:7" ht="13.2" x14ac:dyDescent="0.25">
      <c r="G1136" s="1"/>
    </row>
    <row r="1137" spans="7:7" ht="13.2" x14ac:dyDescent="0.25">
      <c r="G1137" s="1"/>
    </row>
    <row r="1138" spans="7:7" ht="13.2" x14ac:dyDescent="0.25">
      <c r="G1138" s="1"/>
    </row>
    <row r="1139" spans="7:7" ht="13.2" x14ac:dyDescent="0.25">
      <c r="G1139" s="1"/>
    </row>
    <row r="1140" spans="7:7" ht="13.2" x14ac:dyDescent="0.25">
      <c r="G1140" s="1"/>
    </row>
    <row r="1141" spans="7:7" ht="13.2" x14ac:dyDescent="0.25">
      <c r="G1141" s="1"/>
    </row>
    <row r="1142" spans="7:7" ht="13.2" x14ac:dyDescent="0.25">
      <c r="G1142" s="1"/>
    </row>
    <row r="1143" spans="7:7" ht="13.2" x14ac:dyDescent="0.25">
      <c r="G1143" s="1"/>
    </row>
    <row r="1144" spans="7:7" ht="13.2" x14ac:dyDescent="0.25">
      <c r="G1144" s="1"/>
    </row>
    <row r="1145" spans="7:7" ht="13.2" x14ac:dyDescent="0.25">
      <c r="G1145" s="1"/>
    </row>
    <row r="1146" spans="7:7" ht="13.2" x14ac:dyDescent="0.25">
      <c r="G1146" s="1"/>
    </row>
    <row r="1147" spans="7:7" ht="13.2" x14ac:dyDescent="0.25">
      <c r="G1147" s="1"/>
    </row>
    <row r="1148" spans="7:7" ht="13.2" x14ac:dyDescent="0.25">
      <c r="G1148" s="1"/>
    </row>
    <row r="1149" spans="7:7" ht="13.2" x14ac:dyDescent="0.25">
      <c r="G1149" s="1"/>
    </row>
    <row r="1150" spans="7:7" ht="13.2" x14ac:dyDescent="0.25">
      <c r="G1150" s="1"/>
    </row>
    <row r="1151" spans="7:7" ht="13.2" x14ac:dyDescent="0.25">
      <c r="G1151" s="1"/>
    </row>
    <row r="1152" spans="7:7" ht="13.2" x14ac:dyDescent="0.25">
      <c r="G1152" s="1"/>
    </row>
    <row r="1153" spans="7:7" ht="13.2" x14ac:dyDescent="0.25">
      <c r="G1153" s="1"/>
    </row>
    <row r="1154" spans="7:7" ht="13.2" x14ac:dyDescent="0.25">
      <c r="G1154" s="1"/>
    </row>
    <row r="1155" spans="7:7" ht="13.2" x14ac:dyDescent="0.25">
      <c r="G1155" s="1"/>
    </row>
    <row r="1156" spans="7:7" ht="13.2" x14ac:dyDescent="0.25">
      <c r="G1156" s="1"/>
    </row>
    <row r="1157" spans="7:7" ht="13.2" x14ac:dyDescent="0.25">
      <c r="G1157" s="1"/>
    </row>
    <row r="1158" spans="7:7" ht="13.2" x14ac:dyDescent="0.25">
      <c r="G1158" s="1"/>
    </row>
    <row r="1159" spans="7:7" ht="13.2" x14ac:dyDescent="0.25">
      <c r="G1159" s="1"/>
    </row>
    <row r="1160" spans="7:7" ht="13.2" x14ac:dyDescent="0.25">
      <c r="G1160" s="1"/>
    </row>
    <row r="1161" spans="7:7" ht="13.2" x14ac:dyDescent="0.25">
      <c r="G1161" s="1"/>
    </row>
    <row r="1162" spans="7:7" ht="13.2" x14ac:dyDescent="0.25">
      <c r="G1162" s="1"/>
    </row>
    <row r="1163" spans="7:7" ht="13.2" x14ac:dyDescent="0.25">
      <c r="G1163" s="1"/>
    </row>
    <row r="1164" spans="7:7" ht="13.2" x14ac:dyDescent="0.25">
      <c r="G1164" s="1"/>
    </row>
    <row r="1165" spans="7:7" ht="13.2" x14ac:dyDescent="0.25">
      <c r="G1165" s="1"/>
    </row>
    <row r="1166" spans="7:7" ht="13.2" x14ac:dyDescent="0.25">
      <c r="G1166" s="1"/>
    </row>
    <row r="1167" spans="7:7" ht="13.2" x14ac:dyDescent="0.25">
      <c r="G1167" s="1"/>
    </row>
    <row r="1168" spans="7:7" ht="13.2" x14ac:dyDescent="0.25">
      <c r="G1168" s="1"/>
    </row>
    <row r="1169" spans="7:7" ht="13.2" x14ac:dyDescent="0.25">
      <c r="G1169" s="1"/>
    </row>
    <row r="1170" spans="7:7" ht="13.2" x14ac:dyDescent="0.25">
      <c r="G1170" s="1"/>
    </row>
    <row r="1171" spans="7:7" ht="13.2" x14ac:dyDescent="0.25">
      <c r="G1171" s="1"/>
    </row>
    <row r="1172" spans="7:7" ht="13.2" x14ac:dyDescent="0.25">
      <c r="G1172" s="1"/>
    </row>
    <row r="1173" spans="7:7" ht="13.2" x14ac:dyDescent="0.25">
      <c r="G1173" s="1"/>
    </row>
    <row r="1174" spans="7:7" ht="13.2" x14ac:dyDescent="0.25">
      <c r="G1174" s="1"/>
    </row>
    <row r="1175" spans="7:7" ht="13.2" x14ac:dyDescent="0.25">
      <c r="G1175" s="1"/>
    </row>
    <row r="1176" spans="7:7" ht="13.2" x14ac:dyDescent="0.25">
      <c r="G1176" s="1"/>
    </row>
    <row r="1177" spans="7:7" ht="13.2" x14ac:dyDescent="0.25">
      <c r="G1177" s="1"/>
    </row>
    <row r="1178" spans="7:7" ht="13.2" x14ac:dyDescent="0.25">
      <c r="G1178" s="1"/>
    </row>
    <row r="1179" spans="7:7" ht="13.2" x14ac:dyDescent="0.25">
      <c r="G1179" s="1"/>
    </row>
    <row r="1180" spans="7:7" ht="13.2" x14ac:dyDescent="0.25">
      <c r="G1180" s="1"/>
    </row>
    <row r="1181" spans="7:7" ht="13.2" x14ac:dyDescent="0.25">
      <c r="G1181" s="1"/>
    </row>
    <row r="1182" spans="7:7" ht="13.2" x14ac:dyDescent="0.25">
      <c r="G1182" s="1"/>
    </row>
    <row r="1183" spans="7:7" ht="13.2" x14ac:dyDescent="0.25">
      <c r="G1183" s="1"/>
    </row>
    <row r="1184" spans="7:7" ht="13.2" x14ac:dyDescent="0.25">
      <c r="G1184" s="1"/>
    </row>
    <row r="1185" spans="7:7" ht="13.2" x14ac:dyDescent="0.25">
      <c r="G1185" s="1"/>
    </row>
    <row r="1186" spans="7:7" ht="13.2" x14ac:dyDescent="0.25">
      <c r="G1186" s="1"/>
    </row>
    <row r="1187" spans="7:7" ht="13.2" x14ac:dyDescent="0.25">
      <c r="G1187" s="1"/>
    </row>
    <row r="1188" spans="7:7" ht="13.2" x14ac:dyDescent="0.25">
      <c r="G1188" s="1"/>
    </row>
    <row r="1189" spans="7:7" ht="13.2" x14ac:dyDescent="0.25">
      <c r="G1189" s="1"/>
    </row>
    <row r="1190" spans="7:7" ht="13.2" x14ac:dyDescent="0.25">
      <c r="G1190" s="1"/>
    </row>
    <row r="1191" spans="7:7" ht="13.2" x14ac:dyDescent="0.25">
      <c r="G1191" s="1"/>
    </row>
    <row r="1192" spans="7:7" ht="13.2" x14ac:dyDescent="0.25">
      <c r="G1192" s="1"/>
    </row>
    <row r="1193" spans="7:7" ht="13.2" x14ac:dyDescent="0.25">
      <c r="G1193" s="1"/>
    </row>
    <row r="1194" spans="7:7" ht="13.2" x14ac:dyDescent="0.25">
      <c r="G1194" s="1"/>
    </row>
    <row r="1195" spans="7:7" ht="13.2" x14ac:dyDescent="0.25">
      <c r="G1195" s="1"/>
    </row>
    <row r="1196" spans="7:7" ht="13.2" x14ac:dyDescent="0.25">
      <c r="G1196" s="1"/>
    </row>
    <row r="1197" spans="7:7" ht="13.2" x14ac:dyDescent="0.25">
      <c r="G1197" s="1"/>
    </row>
    <row r="1198" spans="7:7" ht="13.2" x14ac:dyDescent="0.25">
      <c r="G1198" s="1"/>
    </row>
    <row r="1199" spans="7:7" ht="13.2" x14ac:dyDescent="0.25">
      <c r="G1199" s="1"/>
    </row>
    <row r="1200" spans="7:7" ht="13.2" x14ac:dyDescent="0.25">
      <c r="G1200" s="1"/>
    </row>
    <row r="1201" spans="7:7" ht="13.2" x14ac:dyDescent="0.25">
      <c r="G1201" s="1"/>
    </row>
    <row r="1202" spans="7:7" ht="13.2" x14ac:dyDescent="0.25">
      <c r="G1202" s="1"/>
    </row>
    <row r="1203" spans="7:7" ht="13.2" x14ac:dyDescent="0.25">
      <c r="G1203" s="1"/>
    </row>
    <row r="1204" spans="7:7" ht="13.2" x14ac:dyDescent="0.25">
      <c r="G1204" s="1"/>
    </row>
    <row r="1205" spans="7:7" ht="13.2" x14ac:dyDescent="0.25">
      <c r="G1205" s="1"/>
    </row>
    <row r="1206" spans="7:7" ht="13.2" x14ac:dyDescent="0.25">
      <c r="G1206" s="1"/>
    </row>
    <row r="1207" spans="7:7" ht="13.2" x14ac:dyDescent="0.25">
      <c r="G1207" s="1"/>
    </row>
    <row r="1208" spans="7:7" ht="13.2" x14ac:dyDescent="0.25">
      <c r="G1208" s="1"/>
    </row>
    <row r="1209" spans="7:7" ht="13.2" x14ac:dyDescent="0.25">
      <c r="G1209" s="1"/>
    </row>
    <row r="1210" spans="7:7" ht="13.2" x14ac:dyDescent="0.25">
      <c r="G1210" s="1"/>
    </row>
    <row r="1211" spans="7:7" ht="13.2" x14ac:dyDescent="0.25">
      <c r="G1211" s="1"/>
    </row>
    <row r="1212" spans="7:7" ht="13.2" x14ac:dyDescent="0.25">
      <c r="G1212" s="1"/>
    </row>
    <row r="1213" spans="7:7" ht="13.2" x14ac:dyDescent="0.25">
      <c r="G1213" s="1"/>
    </row>
    <row r="1214" spans="7:7" ht="13.2" x14ac:dyDescent="0.25">
      <c r="G1214" s="1"/>
    </row>
    <row r="1215" spans="7:7" ht="13.2" x14ac:dyDescent="0.25">
      <c r="G1215" s="1"/>
    </row>
    <row r="1216" spans="7:7" ht="13.2" x14ac:dyDescent="0.25">
      <c r="G1216" s="1"/>
    </row>
    <row r="1217" spans="7:7" ht="13.2" x14ac:dyDescent="0.25">
      <c r="G1217" s="1"/>
    </row>
    <row r="1218" spans="7:7" ht="13.2" x14ac:dyDescent="0.25">
      <c r="G1218" s="1"/>
    </row>
    <row r="1219" spans="7:7" ht="13.2" x14ac:dyDescent="0.25">
      <c r="G1219" s="1"/>
    </row>
    <row r="1220" spans="7:7" ht="13.2" x14ac:dyDescent="0.25">
      <c r="G1220" s="1"/>
    </row>
    <row r="1221" spans="7:7" ht="13.2" x14ac:dyDescent="0.25">
      <c r="G1221" s="1"/>
    </row>
    <row r="1222" spans="7:7" ht="13.2" x14ac:dyDescent="0.25">
      <c r="G1222" s="1"/>
    </row>
    <row r="1223" spans="7:7" ht="13.2" x14ac:dyDescent="0.25">
      <c r="G1223" s="1"/>
    </row>
    <row r="1224" spans="7:7" ht="13.2" x14ac:dyDescent="0.25">
      <c r="G1224" s="1"/>
    </row>
    <row r="1225" spans="7:7" ht="13.2" x14ac:dyDescent="0.25">
      <c r="G1225" s="1"/>
    </row>
    <row r="1226" spans="7:7" ht="13.2" x14ac:dyDescent="0.25">
      <c r="G1226" s="1"/>
    </row>
    <row r="1227" spans="7:7" ht="13.2" x14ac:dyDescent="0.25">
      <c r="G1227" s="1"/>
    </row>
    <row r="1228" spans="7:7" ht="13.2" x14ac:dyDescent="0.25">
      <c r="G1228" s="1"/>
    </row>
    <row r="1229" spans="7:7" ht="13.2" x14ac:dyDescent="0.25">
      <c r="G1229" s="1"/>
    </row>
    <row r="1230" spans="7:7" ht="13.2" x14ac:dyDescent="0.25">
      <c r="G1230" s="1"/>
    </row>
    <row r="1231" spans="7:7" ht="13.2" x14ac:dyDescent="0.25">
      <c r="G1231" s="1"/>
    </row>
    <row r="1232" spans="7:7" ht="13.2" x14ac:dyDescent="0.25">
      <c r="G1232" s="1"/>
    </row>
    <row r="1233" spans="7:7" ht="13.2" x14ac:dyDescent="0.25">
      <c r="G1233" s="1"/>
    </row>
    <row r="1234" spans="7:7" ht="13.2" x14ac:dyDescent="0.25">
      <c r="G1234" s="1"/>
    </row>
    <row r="1235" spans="7:7" ht="13.2" x14ac:dyDescent="0.25">
      <c r="G1235" s="1"/>
    </row>
    <row r="1236" spans="7:7" ht="13.2" x14ac:dyDescent="0.25">
      <c r="G1236" s="1"/>
    </row>
    <row r="1237" spans="7:7" ht="13.2" x14ac:dyDescent="0.25">
      <c r="G1237" s="1"/>
    </row>
    <row r="1238" spans="7:7" ht="13.2" x14ac:dyDescent="0.25">
      <c r="G1238" s="1"/>
    </row>
    <row r="1239" spans="7:7" ht="13.2" x14ac:dyDescent="0.25">
      <c r="G1239" s="1"/>
    </row>
    <row r="1240" spans="7:7" ht="13.2" x14ac:dyDescent="0.25">
      <c r="G1240" s="1"/>
    </row>
    <row r="1241" spans="7:7" ht="13.2" x14ac:dyDescent="0.25">
      <c r="G1241" s="1"/>
    </row>
    <row r="1242" spans="7:7" ht="13.2" x14ac:dyDescent="0.25">
      <c r="G1242" s="1"/>
    </row>
    <row r="1243" spans="7:7" ht="13.2" x14ac:dyDescent="0.25">
      <c r="G1243" s="1"/>
    </row>
    <row r="1244" spans="7:7" ht="13.2" x14ac:dyDescent="0.25">
      <c r="G1244" s="1"/>
    </row>
    <row r="1245" spans="7:7" ht="13.2" x14ac:dyDescent="0.25">
      <c r="G1245" s="1"/>
    </row>
    <row r="1246" spans="7:7" ht="13.2" x14ac:dyDescent="0.25">
      <c r="G1246" s="1"/>
    </row>
    <row r="1247" spans="7:7" ht="13.2" x14ac:dyDescent="0.25">
      <c r="G1247" s="1"/>
    </row>
    <row r="1248" spans="7:7" ht="13.2" x14ac:dyDescent="0.25">
      <c r="G1248" s="1"/>
    </row>
    <row r="1249" spans="7:7" ht="13.2" x14ac:dyDescent="0.25">
      <c r="G1249" s="1"/>
    </row>
    <row r="1250" spans="7:7" ht="13.2" x14ac:dyDescent="0.25">
      <c r="G1250" s="1"/>
    </row>
    <row r="1251" spans="7:7" ht="13.2" x14ac:dyDescent="0.25">
      <c r="G1251" s="1"/>
    </row>
    <row r="1252" spans="7:7" ht="13.2" x14ac:dyDescent="0.25">
      <c r="G1252" s="1"/>
    </row>
    <row r="1253" spans="7:7" ht="13.2" x14ac:dyDescent="0.25">
      <c r="G1253" s="1"/>
    </row>
    <row r="1254" spans="7:7" ht="13.2" x14ac:dyDescent="0.25">
      <c r="G1254" s="1"/>
    </row>
    <row r="1255" spans="7:7" ht="13.2" x14ac:dyDescent="0.25">
      <c r="G1255" s="1"/>
    </row>
    <row r="1256" spans="7:7" ht="13.2" x14ac:dyDescent="0.25">
      <c r="G1256" s="1"/>
    </row>
    <row r="1257" spans="7:7" ht="13.2" x14ac:dyDescent="0.25">
      <c r="G1257" s="1"/>
    </row>
    <row r="1258" spans="7:7" ht="13.2" x14ac:dyDescent="0.25">
      <c r="G1258" s="1"/>
    </row>
    <row r="1259" spans="7:7" ht="13.2" x14ac:dyDescent="0.25">
      <c r="G1259" s="1"/>
    </row>
    <row r="1260" spans="7:7" ht="13.2" x14ac:dyDescent="0.25">
      <c r="G1260" s="1"/>
    </row>
    <row r="1261" spans="7:7" ht="13.2" x14ac:dyDescent="0.25">
      <c r="G1261" s="1"/>
    </row>
    <row r="1262" spans="7:7" ht="13.2" x14ac:dyDescent="0.25">
      <c r="G1262" s="1"/>
    </row>
    <row r="1263" spans="7:7" ht="13.2" x14ac:dyDescent="0.25">
      <c r="G1263" s="1"/>
    </row>
    <row r="1264" spans="7:7" ht="13.2" x14ac:dyDescent="0.25">
      <c r="G1264" s="1"/>
    </row>
    <row r="1265" spans="7:7" ht="13.2" x14ac:dyDescent="0.25">
      <c r="G1265" s="1"/>
    </row>
    <row r="1266" spans="7:7" ht="13.2" x14ac:dyDescent="0.25">
      <c r="G1266" s="1"/>
    </row>
    <row r="1267" spans="7:7" ht="13.2" x14ac:dyDescent="0.25">
      <c r="G1267" s="1"/>
    </row>
    <row r="1268" spans="7:7" ht="13.2" x14ac:dyDescent="0.25">
      <c r="G1268" s="1"/>
    </row>
    <row r="1269" spans="7:7" ht="13.2" x14ac:dyDescent="0.25">
      <c r="G1269" s="1"/>
    </row>
    <row r="1270" spans="7:7" ht="13.2" x14ac:dyDescent="0.25">
      <c r="G1270" s="1"/>
    </row>
    <row r="1271" spans="7:7" ht="13.2" x14ac:dyDescent="0.25">
      <c r="G1271" s="1"/>
    </row>
    <row r="1272" spans="7:7" ht="13.2" x14ac:dyDescent="0.25">
      <c r="G1272" s="1"/>
    </row>
    <row r="1273" spans="7:7" ht="13.2" x14ac:dyDescent="0.25">
      <c r="G1273" s="1"/>
    </row>
    <row r="1274" spans="7:7" ht="13.2" x14ac:dyDescent="0.25">
      <c r="G1274" s="1"/>
    </row>
    <row r="1275" spans="7:7" ht="13.2" x14ac:dyDescent="0.25">
      <c r="G1275" s="1"/>
    </row>
    <row r="1276" spans="7:7" ht="13.2" x14ac:dyDescent="0.25">
      <c r="G1276" s="1"/>
    </row>
    <row r="1277" spans="7:7" ht="13.2" x14ac:dyDescent="0.25">
      <c r="G1277" s="1"/>
    </row>
    <row r="1278" spans="7:7" ht="13.2" x14ac:dyDescent="0.25">
      <c r="G1278" s="1"/>
    </row>
    <row r="1279" spans="7:7" ht="13.2" x14ac:dyDescent="0.25">
      <c r="G1279" s="1"/>
    </row>
    <row r="1280" spans="7:7" ht="13.2" x14ac:dyDescent="0.25">
      <c r="G1280" s="1"/>
    </row>
    <row r="1281" spans="7:7" ht="13.2" x14ac:dyDescent="0.25">
      <c r="G1281" s="1"/>
    </row>
    <row r="1282" spans="7:7" ht="13.2" x14ac:dyDescent="0.25">
      <c r="G1282" s="1"/>
    </row>
    <row r="1283" spans="7:7" ht="13.2" x14ac:dyDescent="0.25">
      <c r="G1283" s="1"/>
    </row>
    <row r="1284" spans="7:7" ht="13.2" x14ac:dyDescent="0.25">
      <c r="G1284" s="1"/>
    </row>
    <row r="1285" spans="7:7" ht="13.2" x14ac:dyDescent="0.25">
      <c r="G1285" s="1"/>
    </row>
    <row r="1286" spans="7:7" ht="13.2" x14ac:dyDescent="0.25">
      <c r="G1286" s="1"/>
    </row>
    <row r="1287" spans="7:7" ht="13.2" x14ac:dyDescent="0.25">
      <c r="G1287" s="1"/>
    </row>
    <row r="1288" spans="7:7" ht="13.2" x14ac:dyDescent="0.25">
      <c r="G1288" s="1"/>
    </row>
    <row r="1289" spans="7:7" ht="13.2" x14ac:dyDescent="0.25">
      <c r="G1289" s="1"/>
    </row>
    <row r="1290" spans="7:7" ht="13.2" x14ac:dyDescent="0.25">
      <c r="G1290" s="1"/>
    </row>
    <row r="1291" spans="7:7" ht="13.2" x14ac:dyDescent="0.25">
      <c r="G1291" s="1"/>
    </row>
    <row r="1292" spans="7:7" ht="13.2" x14ac:dyDescent="0.25">
      <c r="G1292" s="1"/>
    </row>
    <row r="1293" spans="7:7" ht="13.2" x14ac:dyDescent="0.25">
      <c r="G1293" s="1"/>
    </row>
    <row r="1294" spans="7:7" ht="13.2" x14ac:dyDescent="0.25">
      <c r="G1294" s="1"/>
    </row>
    <row r="1295" spans="7:7" ht="13.2" x14ac:dyDescent="0.25">
      <c r="G1295" s="1"/>
    </row>
    <row r="1296" spans="7:7" ht="13.2" x14ac:dyDescent="0.25">
      <c r="G1296" s="1"/>
    </row>
    <row r="1297" spans="7:7" ht="13.2" x14ac:dyDescent="0.25">
      <c r="G1297" s="1"/>
    </row>
    <row r="1298" spans="7:7" ht="13.2" x14ac:dyDescent="0.25">
      <c r="G1298" s="1"/>
    </row>
    <row r="1299" spans="7:7" ht="13.2" x14ac:dyDescent="0.25">
      <c r="G1299" s="1"/>
    </row>
    <row r="1300" spans="7:7" ht="13.2" x14ac:dyDescent="0.25">
      <c r="G1300" s="1"/>
    </row>
    <row r="1301" spans="7:7" ht="13.2" x14ac:dyDescent="0.25">
      <c r="G1301" s="1"/>
    </row>
    <row r="1302" spans="7:7" ht="13.2" x14ac:dyDescent="0.25">
      <c r="G1302" s="1"/>
    </row>
    <row r="1303" spans="7:7" ht="13.2" x14ac:dyDescent="0.25">
      <c r="G1303" s="1"/>
    </row>
    <row r="1304" spans="7:7" ht="13.2" x14ac:dyDescent="0.25">
      <c r="G1304" s="1"/>
    </row>
    <row r="1305" spans="7:7" ht="13.2" x14ac:dyDescent="0.25">
      <c r="G1305" s="1"/>
    </row>
    <row r="1306" spans="7:7" ht="13.2" x14ac:dyDescent="0.25">
      <c r="G1306" s="1"/>
    </row>
    <row r="1307" spans="7:7" ht="13.2" x14ac:dyDescent="0.25">
      <c r="G1307" s="1"/>
    </row>
    <row r="1308" spans="7:7" ht="13.2" x14ac:dyDescent="0.25">
      <c r="G1308" s="1"/>
    </row>
    <row r="1309" spans="7:7" ht="13.2" x14ac:dyDescent="0.25">
      <c r="G1309" s="1"/>
    </row>
    <row r="1310" spans="7:7" ht="13.2" x14ac:dyDescent="0.25">
      <c r="G1310" s="1"/>
    </row>
    <row r="1311" spans="7:7" ht="13.2" x14ac:dyDescent="0.25">
      <c r="G1311" s="1"/>
    </row>
    <row r="1312" spans="7:7" ht="13.2" x14ac:dyDescent="0.25">
      <c r="G1312" s="1"/>
    </row>
    <row r="1313" spans="7:7" ht="13.2" x14ac:dyDescent="0.25">
      <c r="G1313" s="1"/>
    </row>
    <row r="1314" spans="7:7" ht="13.2" x14ac:dyDescent="0.25">
      <c r="G1314" s="1"/>
    </row>
    <row r="1315" spans="7:7" ht="13.2" x14ac:dyDescent="0.25">
      <c r="G1315" s="1"/>
    </row>
    <row r="1316" spans="7:7" ht="13.2" x14ac:dyDescent="0.25">
      <c r="G1316" s="1"/>
    </row>
    <row r="1317" spans="7:7" ht="13.2" x14ac:dyDescent="0.25">
      <c r="G1317" s="1"/>
    </row>
    <row r="1318" spans="7:7" ht="13.2" x14ac:dyDescent="0.25">
      <c r="G1318" s="1"/>
    </row>
    <row r="1319" spans="7:7" ht="13.2" x14ac:dyDescent="0.25">
      <c r="G1319" s="1"/>
    </row>
    <row r="1320" spans="7:7" ht="13.2" x14ac:dyDescent="0.25">
      <c r="G1320" s="1"/>
    </row>
    <row r="1321" spans="7:7" ht="13.2" x14ac:dyDescent="0.25">
      <c r="G1321" s="1"/>
    </row>
    <row r="1322" spans="7:7" ht="13.2" x14ac:dyDescent="0.25">
      <c r="G1322" s="1"/>
    </row>
    <row r="1323" spans="7:7" ht="13.2" x14ac:dyDescent="0.25">
      <c r="G1323" s="1"/>
    </row>
    <row r="1324" spans="7:7" ht="13.2" x14ac:dyDescent="0.25">
      <c r="G1324" s="1"/>
    </row>
    <row r="1325" spans="7:7" ht="13.2" x14ac:dyDescent="0.25">
      <c r="G1325" s="1"/>
    </row>
    <row r="1326" spans="7:7" ht="13.2" x14ac:dyDescent="0.25">
      <c r="G1326" s="1"/>
    </row>
    <row r="1327" spans="7:7" ht="13.2" x14ac:dyDescent="0.25">
      <c r="G1327" s="1"/>
    </row>
    <row r="1328" spans="7:7" ht="13.2" x14ac:dyDescent="0.25">
      <c r="G1328" s="1"/>
    </row>
    <row r="1329" spans="7:7" ht="13.2" x14ac:dyDescent="0.25">
      <c r="G1329" s="1"/>
    </row>
    <row r="1330" spans="7:7" ht="13.2" x14ac:dyDescent="0.25">
      <c r="G1330" s="1"/>
    </row>
    <row r="1331" spans="7:7" ht="13.2" x14ac:dyDescent="0.25">
      <c r="G1331" s="1"/>
    </row>
    <row r="1332" spans="7:7" ht="13.2" x14ac:dyDescent="0.25">
      <c r="G1332" s="1"/>
    </row>
    <row r="1333" spans="7:7" ht="13.2" x14ac:dyDescent="0.25">
      <c r="G1333" s="1"/>
    </row>
    <row r="1334" spans="7:7" ht="13.2" x14ac:dyDescent="0.25">
      <c r="G1334" s="1"/>
    </row>
    <row r="1335" spans="7:7" ht="13.2" x14ac:dyDescent="0.25">
      <c r="G1335" s="1"/>
    </row>
    <row r="1336" spans="7:7" ht="13.2" x14ac:dyDescent="0.25">
      <c r="G1336" s="1"/>
    </row>
    <row r="1337" spans="7:7" ht="13.2" x14ac:dyDescent="0.25">
      <c r="G1337" s="1"/>
    </row>
    <row r="1338" spans="7:7" ht="13.2" x14ac:dyDescent="0.25">
      <c r="G1338" s="1"/>
    </row>
    <row r="1339" spans="7:7" ht="13.2" x14ac:dyDescent="0.25">
      <c r="G1339" s="1"/>
    </row>
    <row r="1340" spans="7:7" ht="13.2" x14ac:dyDescent="0.25">
      <c r="G1340" s="1"/>
    </row>
    <row r="1341" spans="7:7" ht="13.2" x14ac:dyDescent="0.25">
      <c r="G1341" s="1"/>
    </row>
    <row r="1342" spans="7:7" ht="13.2" x14ac:dyDescent="0.25">
      <c r="G1342" s="1"/>
    </row>
    <row r="1343" spans="7:7" ht="13.2" x14ac:dyDescent="0.25">
      <c r="G1343" s="1"/>
    </row>
    <row r="1344" spans="7:7" ht="13.2" x14ac:dyDescent="0.25">
      <c r="G1344" s="1"/>
    </row>
    <row r="1345" spans="7:7" ht="13.2" x14ac:dyDescent="0.25">
      <c r="G1345" s="1"/>
    </row>
    <row r="1346" spans="7:7" ht="13.2" x14ac:dyDescent="0.25">
      <c r="G1346" s="1"/>
    </row>
    <row r="1347" spans="7:7" ht="13.2" x14ac:dyDescent="0.25">
      <c r="G1347" s="1"/>
    </row>
    <row r="1348" spans="7:7" ht="13.2" x14ac:dyDescent="0.25">
      <c r="G1348" s="1"/>
    </row>
    <row r="1349" spans="7:7" ht="13.2" x14ac:dyDescent="0.25">
      <c r="G1349" s="1"/>
    </row>
    <row r="1350" spans="7:7" ht="13.2" x14ac:dyDescent="0.25">
      <c r="G1350" s="1"/>
    </row>
    <row r="1351" spans="7:7" ht="13.2" x14ac:dyDescent="0.25">
      <c r="G1351" s="1"/>
    </row>
    <row r="1352" spans="7:7" ht="13.2" x14ac:dyDescent="0.25">
      <c r="G1352" s="1"/>
    </row>
    <row r="1353" spans="7:7" ht="13.2" x14ac:dyDescent="0.25">
      <c r="G1353" s="1"/>
    </row>
    <row r="1354" spans="7:7" ht="13.2" x14ac:dyDescent="0.25">
      <c r="G1354" s="1"/>
    </row>
    <row r="1355" spans="7:7" ht="13.2" x14ac:dyDescent="0.25">
      <c r="G1355" s="1"/>
    </row>
    <row r="1356" spans="7:7" ht="13.2" x14ac:dyDescent="0.25">
      <c r="G1356" s="1"/>
    </row>
    <row r="1357" spans="7:7" ht="13.2" x14ac:dyDescent="0.25">
      <c r="G1357" s="1"/>
    </row>
    <row r="1358" spans="7:7" ht="13.2" x14ac:dyDescent="0.25">
      <c r="G1358" s="1"/>
    </row>
    <row r="1359" spans="7:7" ht="13.2" x14ac:dyDescent="0.25">
      <c r="G1359" s="1"/>
    </row>
    <row r="1360" spans="7:7" ht="13.2" x14ac:dyDescent="0.25">
      <c r="G1360" s="1"/>
    </row>
    <row r="1361" spans="7:7" ht="13.2" x14ac:dyDescent="0.25">
      <c r="G1361" s="1"/>
    </row>
    <row r="1362" spans="7:7" ht="13.2" x14ac:dyDescent="0.25">
      <c r="G1362" s="1"/>
    </row>
    <row r="1363" spans="7:7" ht="13.2" x14ac:dyDescent="0.25">
      <c r="G1363" s="1"/>
    </row>
    <row r="1364" spans="7:7" ht="13.2" x14ac:dyDescent="0.25">
      <c r="G1364" s="1"/>
    </row>
    <row r="1365" spans="7:7" ht="13.2" x14ac:dyDescent="0.25">
      <c r="G1365" s="1"/>
    </row>
    <row r="1366" spans="7:7" ht="13.2" x14ac:dyDescent="0.25">
      <c r="G1366" s="1"/>
    </row>
    <row r="1367" spans="7:7" ht="13.2" x14ac:dyDescent="0.25">
      <c r="G1367" s="1"/>
    </row>
    <row r="1368" spans="7:7" ht="13.2" x14ac:dyDescent="0.25">
      <c r="G1368" s="1"/>
    </row>
    <row r="1369" spans="7:7" ht="13.2" x14ac:dyDescent="0.25">
      <c r="G1369" s="1"/>
    </row>
    <row r="1370" spans="7:7" ht="13.2" x14ac:dyDescent="0.25">
      <c r="G1370" s="1"/>
    </row>
    <row r="1371" spans="7:7" ht="13.2" x14ac:dyDescent="0.25">
      <c r="G1371" s="1"/>
    </row>
    <row r="1372" spans="7:7" ht="13.2" x14ac:dyDescent="0.25">
      <c r="G1372" s="1"/>
    </row>
    <row r="1373" spans="7:7" ht="13.2" x14ac:dyDescent="0.25">
      <c r="G1373" s="1"/>
    </row>
    <row r="1374" spans="7:7" ht="13.2" x14ac:dyDescent="0.25">
      <c r="G1374" s="1"/>
    </row>
    <row r="1375" spans="7:7" ht="13.2" x14ac:dyDescent="0.25">
      <c r="G1375" s="1"/>
    </row>
    <row r="1376" spans="7:7" ht="13.2" x14ac:dyDescent="0.25">
      <c r="G1376" s="1"/>
    </row>
    <row r="1377" spans="7:7" ht="13.2" x14ac:dyDescent="0.25">
      <c r="G1377" s="1"/>
    </row>
    <row r="1378" spans="7:7" ht="13.2" x14ac:dyDescent="0.25">
      <c r="G1378" s="1"/>
    </row>
    <row r="1379" spans="7:7" ht="13.2" x14ac:dyDescent="0.25">
      <c r="G1379" s="1"/>
    </row>
    <row r="1380" spans="7:7" ht="13.2" x14ac:dyDescent="0.25">
      <c r="G1380" s="1"/>
    </row>
    <row r="1381" spans="7:7" ht="13.2" x14ac:dyDescent="0.25">
      <c r="G1381" s="1"/>
    </row>
    <row r="1382" spans="7:7" ht="13.2" x14ac:dyDescent="0.25">
      <c r="G1382" s="1"/>
    </row>
    <row r="1383" spans="7:7" ht="13.2" x14ac:dyDescent="0.25">
      <c r="G1383" s="1"/>
    </row>
    <row r="1384" spans="7:7" ht="13.2" x14ac:dyDescent="0.25">
      <c r="G1384" s="1"/>
    </row>
    <row r="1385" spans="7:7" ht="13.2" x14ac:dyDescent="0.25">
      <c r="G1385" s="1"/>
    </row>
    <row r="1386" spans="7:7" ht="13.2" x14ac:dyDescent="0.25">
      <c r="G1386" s="1"/>
    </row>
    <row r="1387" spans="7:7" ht="13.2" x14ac:dyDescent="0.25">
      <c r="G1387" s="1"/>
    </row>
    <row r="1388" spans="7:7" ht="13.2" x14ac:dyDescent="0.25">
      <c r="G1388" s="1"/>
    </row>
    <row r="1389" spans="7:7" ht="13.2" x14ac:dyDescent="0.25">
      <c r="G1389" s="1"/>
    </row>
    <row r="1390" spans="7:7" ht="13.2" x14ac:dyDescent="0.25">
      <c r="G1390" s="1"/>
    </row>
    <row r="1391" spans="7:7" ht="13.2" x14ac:dyDescent="0.25">
      <c r="G1391" s="1"/>
    </row>
    <row r="1392" spans="7:7" ht="13.2" x14ac:dyDescent="0.25">
      <c r="G1392" s="1"/>
    </row>
    <row r="1393" spans="7:7" ht="13.2" x14ac:dyDescent="0.25">
      <c r="G1393" s="1"/>
    </row>
    <row r="1394" spans="7:7" ht="13.2" x14ac:dyDescent="0.25">
      <c r="G1394" s="1"/>
    </row>
    <row r="1395" spans="7:7" ht="13.2" x14ac:dyDescent="0.25">
      <c r="G1395" s="1"/>
    </row>
    <row r="1396" spans="7:7" ht="13.2" x14ac:dyDescent="0.25">
      <c r="G1396" s="1"/>
    </row>
    <row r="1397" spans="7:7" ht="13.2" x14ac:dyDescent="0.25">
      <c r="G1397" s="1"/>
    </row>
    <row r="1398" spans="7:7" ht="13.2" x14ac:dyDescent="0.25">
      <c r="G1398" s="1"/>
    </row>
    <row r="1399" spans="7:7" ht="13.2" x14ac:dyDescent="0.25">
      <c r="G1399" s="1"/>
    </row>
    <row r="1400" spans="7:7" ht="13.2" x14ac:dyDescent="0.25">
      <c r="G1400" s="1"/>
    </row>
    <row r="1401" spans="7:7" ht="13.2" x14ac:dyDescent="0.25">
      <c r="G1401" s="1"/>
    </row>
    <row r="1402" spans="7:7" ht="13.2" x14ac:dyDescent="0.25">
      <c r="G1402" s="1"/>
    </row>
    <row r="1403" spans="7:7" ht="13.2" x14ac:dyDescent="0.25">
      <c r="G1403" s="1"/>
    </row>
    <row r="1404" spans="7:7" ht="13.2" x14ac:dyDescent="0.25">
      <c r="G1404" s="1"/>
    </row>
    <row r="1405" spans="7:7" ht="13.2" x14ac:dyDescent="0.25">
      <c r="G1405" s="1"/>
    </row>
    <row r="1406" spans="7:7" ht="13.2" x14ac:dyDescent="0.25">
      <c r="G1406" s="1"/>
    </row>
    <row r="1407" spans="7:7" ht="13.2" x14ac:dyDescent="0.25">
      <c r="G1407" s="1"/>
    </row>
    <row r="1408" spans="7:7" ht="13.2" x14ac:dyDescent="0.25">
      <c r="G1408" s="1"/>
    </row>
    <row r="1409" spans="7:7" ht="13.2" x14ac:dyDescent="0.25">
      <c r="G1409" s="1"/>
    </row>
    <row r="1410" spans="7:7" ht="13.2" x14ac:dyDescent="0.25">
      <c r="G1410" s="1"/>
    </row>
    <row r="1411" spans="7:7" ht="13.2" x14ac:dyDescent="0.25">
      <c r="G1411" s="1"/>
    </row>
    <row r="1412" spans="7:7" ht="13.2" x14ac:dyDescent="0.25">
      <c r="G1412" s="1"/>
    </row>
    <row r="1413" spans="7:7" ht="13.2" x14ac:dyDescent="0.25">
      <c r="G1413" s="1"/>
    </row>
    <row r="1414" spans="7:7" ht="13.2" x14ac:dyDescent="0.25">
      <c r="G1414" s="1"/>
    </row>
    <row r="1415" spans="7:7" ht="13.2" x14ac:dyDescent="0.25">
      <c r="G1415" s="1"/>
    </row>
    <row r="1416" spans="7:7" ht="13.2" x14ac:dyDescent="0.25">
      <c r="G1416" s="1"/>
    </row>
    <row r="1417" spans="7:7" ht="13.2" x14ac:dyDescent="0.25">
      <c r="G1417" s="1"/>
    </row>
    <row r="1418" spans="7:7" ht="13.2" x14ac:dyDescent="0.25">
      <c r="G1418" s="1"/>
    </row>
    <row r="1419" spans="7:7" ht="13.2" x14ac:dyDescent="0.25">
      <c r="G1419" s="1"/>
    </row>
    <row r="1420" spans="7:7" ht="13.2" x14ac:dyDescent="0.25">
      <c r="G1420" s="1"/>
    </row>
    <row r="1421" spans="7:7" ht="13.2" x14ac:dyDescent="0.25">
      <c r="G1421" s="1"/>
    </row>
    <row r="1422" spans="7:7" ht="13.2" x14ac:dyDescent="0.25">
      <c r="G1422" s="1"/>
    </row>
    <row r="1423" spans="7:7" ht="13.2" x14ac:dyDescent="0.25">
      <c r="G1423" s="1"/>
    </row>
    <row r="1424" spans="7:7" ht="13.2" x14ac:dyDescent="0.25">
      <c r="G1424" s="1"/>
    </row>
    <row r="1425" spans="7:7" ht="13.2" x14ac:dyDescent="0.25">
      <c r="G1425" s="1"/>
    </row>
    <row r="1426" spans="7:7" ht="13.2" x14ac:dyDescent="0.25">
      <c r="G1426" s="1"/>
    </row>
    <row r="1427" spans="7:7" ht="13.2" x14ac:dyDescent="0.25">
      <c r="G1427" s="1"/>
    </row>
    <row r="1428" spans="7:7" ht="13.2" x14ac:dyDescent="0.25">
      <c r="G1428" s="1"/>
    </row>
    <row r="1429" spans="7:7" ht="13.2" x14ac:dyDescent="0.25">
      <c r="G1429" s="1"/>
    </row>
    <row r="1430" spans="7:7" ht="13.2" x14ac:dyDescent="0.25">
      <c r="G1430" s="1"/>
    </row>
    <row r="1431" spans="7:7" ht="13.2" x14ac:dyDescent="0.25">
      <c r="G1431" s="1"/>
    </row>
    <row r="1432" spans="7:7" ht="13.2" x14ac:dyDescent="0.25">
      <c r="G1432" s="1"/>
    </row>
    <row r="1433" spans="7:7" ht="13.2" x14ac:dyDescent="0.25">
      <c r="G1433" s="1"/>
    </row>
    <row r="1434" spans="7:7" ht="13.2" x14ac:dyDescent="0.25">
      <c r="G1434" s="1"/>
    </row>
    <row r="1435" spans="7:7" ht="13.2" x14ac:dyDescent="0.25">
      <c r="G1435" s="1"/>
    </row>
  </sheetData>
  <mergeCells count="5">
    <mergeCell ref="C7:G7"/>
    <mergeCell ref="A1:I3"/>
    <mergeCell ref="A4:I4"/>
    <mergeCell ref="A7:A8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Annually</vt:lpstr>
      <vt:lpstr>Monthly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Villafañe</cp:lastModifiedBy>
  <dcterms:modified xsi:type="dcterms:W3CDTF">2024-01-30T09:26:59Z</dcterms:modified>
</cp:coreProperties>
</file>