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a Jarantilla\Downloads\"/>
    </mc:Choice>
  </mc:AlternateContent>
  <xr:revisionPtr revIDLastSave="0" documentId="13_ncr:1_{DFC0711F-20B2-477F-AA94-C8BFE4AEBB5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nnually" sheetId="1" r:id="rId1"/>
    <sheet name="Monthl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" l="1"/>
  <c r="J50" i="1"/>
  <c r="J51" i="1"/>
  <c r="J56" i="1" l="1"/>
  <c r="J57" i="1"/>
  <c r="F513" i="2"/>
  <c r="E513" i="2"/>
  <c r="D513" i="2"/>
  <c r="C513" i="2"/>
  <c r="F512" i="2"/>
  <c r="E512" i="2"/>
  <c r="D512" i="2"/>
  <c r="C512" i="2"/>
  <c r="F511" i="2"/>
  <c r="E511" i="2"/>
  <c r="D511" i="2"/>
  <c r="F510" i="2"/>
  <c r="E510" i="2"/>
  <c r="D510" i="2"/>
  <c r="C510" i="2"/>
  <c r="F509" i="2"/>
  <c r="E509" i="2"/>
  <c r="D509" i="2"/>
  <c r="C509" i="2"/>
  <c r="F508" i="2"/>
  <c r="E508" i="2"/>
  <c r="D508" i="2"/>
  <c r="F507" i="2"/>
  <c r="E507" i="2"/>
  <c r="D507" i="2"/>
  <c r="F506" i="2"/>
  <c r="E506" i="2"/>
  <c r="D506" i="2"/>
  <c r="C506" i="2"/>
  <c r="F505" i="2"/>
  <c r="E505" i="2"/>
  <c r="D505" i="2"/>
  <c r="C505" i="2"/>
  <c r="J504" i="2"/>
  <c r="F504" i="2"/>
  <c r="E504" i="2"/>
  <c r="D504" i="2"/>
  <c r="C504" i="2"/>
  <c r="F502" i="2"/>
  <c r="E502" i="2"/>
  <c r="D502" i="2"/>
  <c r="C502" i="2"/>
  <c r="F501" i="2"/>
  <c r="E501" i="2"/>
  <c r="D501" i="2"/>
  <c r="F500" i="2"/>
  <c r="E500" i="2"/>
  <c r="D500" i="2"/>
  <c r="C500" i="2"/>
  <c r="F499" i="2"/>
  <c r="E499" i="2"/>
  <c r="D499" i="2"/>
  <c r="C499" i="2"/>
  <c r="F498" i="2"/>
  <c r="E498" i="2"/>
  <c r="D498" i="2"/>
  <c r="C498" i="2"/>
  <c r="F497" i="2"/>
  <c r="E497" i="2"/>
  <c r="D497" i="2"/>
  <c r="C497" i="2"/>
  <c r="F496" i="2"/>
  <c r="E496" i="2"/>
  <c r="D496" i="2"/>
  <c r="C496" i="2"/>
  <c r="F495" i="2"/>
  <c r="E495" i="2"/>
  <c r="D495" i="2"/>
  <c r="C495" i="2"/>
  <c r="F494" i="2"/>
  <c r="E494" i="2"/>
  <c r="D494" i="2"/>
  <c r="C494" i="2"/>
  <c r="F493" i="2"/>
  <c r="E493" i="2"/>
  <c r="D493" i="2"/>
  <c r="C493" i="2"/>
  <c r="F492" i="2"/>
  <c r="E492" i="2"/>
  <c r="D492" i="2"/>
  <c r="C492" i="2"/>
  <c r="J491" i="2"/>
  <c r="F491" i="2"/>
  <c r="E491" i="2"/>
  <c r="D491" i="2"/>
  <c r="C491" i="2"/>
  <c r="F489" i="2"/>
  <c r="E489" i="2"/>
  <c r="D489" i="2"/>
  <c r="C489" i="2"/>
  <c r="F488" i="2"/>
  <c r="E488" i="2"/>
  <c r="D488" i="2"/>
  <c r="C488" i="2"/>
  <c r="F487" i="2"/>
  <c r="E487" i="2"/>
  <c r="D487" i="2"/>
  <c r="C487" i="2"/>
  <c r="F486" i="2"/>
  <c r="E486" i="2"/>
  <c r="D486" i="2"/>
  <c r="C486" i="2"/>
  <c r="F485" i="2"/>
  <c r="E485" i="2"/>
  <c r="D485" i="2"/>
  <c r="C485" i="2"/>
  <c r="F484" i="2"/>
  <c r="E484" i="2"/>
  <c r="D484" i="2"/>
  <c r="C484" i="2"/>
  <c r="F483" i="2"/>
  <c r="E483" i="2"/>
  <c r="D483" i="2"/>
  <c r="C483" i="2"/>
  <c r="F482" i="2"/>
  <c r="E482" i="2"/>
  <c r="D482" i="2"/>
  <c r="C482" i="2"/>
  <c r="F481" i="2"/>
  <c r="E481" i="2"/>
  <c r="D481" i="2"/>
  <c r="C481" i="2"/>
  <c r="F480" i="2"/>
  <c r="E480" i="2"/>
  <c r="D480" i="2"/>
  <c r="C480" i="2"/>
  <c r="F479" i="2"/>
  <c r="E479" i="2"/>
  <c r="D479" i="2"/>
  <c r="F478" i="2"/>
  <c r="E478" i="2"/>
  <c r="D478" i="2"/>
  <c r="F476" i="2"/>
  <c r="E476" i="2"/>
  <c r="D476" i="2"/>
  <c r="C476" i="2"/>
  <c r="F475" i="2"/>
  <c r="E475" i="2"/>
  <c r="D475" i="2"/>
  <c r="C475" i="2"/>
  <c r="F474" i="2"/>
  <c r="E474" i="2"/>
  <c r="D474" i="2"/>
  <c r="C474" i="2"/>
  <c r="F473" i="2"/>
  <c r="E473" i="2"/>
  <c r="D473" i="2"/>
  <c r="C473" i="2"/>
  <c r="F472" i="2"/>
  <c r="E472" i="2"/>
  <c r="D472" i="2"/>
  <c r="C472" i="2"/>
  <c r="F471" i="2"/>
  <c r="E471" i="2"/>
  <c r="D471" i="2"/>
  <c r="C471" i="2"/>
  <c r="F470" i="2"/>
  <c r="E470" i="2"/>
  <c r="D470" i="2"/>
  <c r="C470" i="2"/>
  <c r="F469" i="2"/>
  <c r="E469" i="2"/>
  <c r="D469" i="2"/>
  <c r="F468" i="2"/>
  <c r="E468" i="2"/>
  <c r="D468" i="2"/>
  <c r="C468" i="2"/>
  <c r="F467" i="2"/>
  <c r="E467" i="2"/>
  <c r="D467" i="2"/>
  <c r="C467" i="2"/>
  <c r="F466" i="2"/>
  <c r="E466" i="2"/>
  <c r="D466" i="2"/>
  <c r="C466" i="2"/>
  <c r="F465" i="2"/>
  <c r="E465" i="2"/>
  <c r="D465" i="2"/>
  <c r="C465" i="2"/>
  <c r="F463" i="2"/>
  <c r="E463" i="2"/>
  <c r="D463" i="2"/>
  <c r="C463" i="2"/>
  <c r="F462" i="2"/>
  <c r="E462" i="2"/>
  <c r="D462" i="2"/>
  <c r="C462" i="2"/>
  <c r="F461" i="2"/>
  <c r="E461" i="2"/>
  <c r="D461" i="2"/>
  <c r="C461" i="2"/>
  <c r="F460" i="2"/>
  <c r="E460" i="2"/>
  <c r="D460" i="2"/>
  <c r="C460" i="2"/>
  <c r="F459" i="2"/>
  <c r="E459" i="2"/>
  <c r="D459" i="2"/>
  <c r="C459" i="2"/>
  <c r="F458" i="2"/>
  <c r="E458" i="2"/>
  <c r="D458" i="2"/>
  <c r="C458" i="2"/>
  <c r="F457" i="2"/>
  <c r="E457" i="2"/>
  <c r="D457" i="2"/>
  <c r="C457" i="2"/>
  <c r="F456" i="2"/>
  <c r="E456" i="2"/>
  <c r="D456" i="2"/>
  <c r="C456" i="2"/>
  <c r="F455" i="2"/>
  <c r="E455" i="2"/>
  <c r="D455" i="2"/>
  <c r="C455" i="2"/>
  <c r="F454" i="2"/>
  <c r="E454" i="2"/>
  <c r="D454" i="2"/>
  <c r="C454" i="2"/>
  <c r="F453" i="2"/>
  <c r="E453" i="2"/>
  <c r="D453" i="2"/>
  <c r="C453" i="2"/>
  <c r="F452" i="2"/>
  <c r="E452" i="2"/>
  <c r="D452" i="2"/>
  <c r="C452" i="2"/>
  <c r="F450" i="2"/>
  <c r="E450" i="2"/>
  <c r="D450" i="2"/>
  <c r="C450" i="2"/>
  <c r="F449" i="2"/>
  <c r="E449" i="2"/>
  <c r="D449" i="2"/>
  <c r="C449" i="2"/>
  <c r="F448" i="2"/>
  <c r="E448" i="2"/>
  <c r="D448" i="2"/>
  <c r="C448" i="2"/>
  <c r="F447" i="2"/>
  <c r="E447" i="2"/>
  <c r="D447" i="2"/>
  <c r="C447" i="2"/>
  <c r="F446" i="2"/>
  <c r="E446" i="2"/>
  <c r="D446" i="2"/>
  <c r="C446" i="2"/>
  <c r="F445" i="2"/>
  <c r="E445" i="2"/>
  <c r="D445" i="2"/>
  <c r="C445" i="2"/>
  <c r="F444" i="2"/>
  <c r="E444" i="2"/>
  <c r="D444" i="2"/>
  <c r="C444" i="2"/>
  <c r="F443" i="2"/>
  <c r="E443" i="2"/>
  <c r="D443" i="2"/>
  <c r="C443" i="2"/>
  <c r="F442" i="2"/>
  <c r="E442" i="2"/>
  <c r="D442" i="2"/>
  <c r="C442" i="2"/>
  <c r="F441" i="2"/>
  <c r="E441" i="2"/>
  <c r="D441" i="2"/>
  <c r="C441" i="2"/>
  <c r="F440" i="2"/>
  <c r="E440" i="2"/>
  <c r="D440" i="2"/>
  <c r="C440" i="2"/>
  <c r="F439" i="2"/>
  <c r="E439" i="2"/>
  <c r="D439" i="2"/>
  <c r="C439" i="2"/>
  <c r="F437" i="2"/>
  <c r="E437" i="2"/>
  <c r="D437" i="2"/>
  <c r="C437" i="2"/>
  <c r="F436" i="2"/>
  <c r="E436" i="2"/>
  <c r="D436" i="2"/>
  <c r="C436" i="2"/>
  <c r="F435" i="2"/>
  <c r="E435" i="2"/>
  <c r="D435" i="2"/>
  <c r="C435" i="2"/>
  <c r="F434" i="2"/>
  <c r="E434" i="2"/>
  <c r="D434" i="2"/>
  <c r="C434" i="2"/>
  <c r="F433" i="2"/>
  <c r="E433" i="2"/>
  <c r="D433" i="2"/>
  <c r="C433" i="2"/>
  <c r="F432" i="2"/>
  <c r="E432" i="2"/>
  <c r="D432" i="2"/>
  <c r="C432" i="2"/>
  <c r="F431" i="2"/>
  <c r="E431" i="2"/>
  <c r="D431" i="2"/>
  <c r="C431" i="2"/>
  <c r="F430" i="2"/>
  <c r="E430" i="2"/>
  <c r="D430" i="2"/>
  <c r="C430" i="2"/>
  <c r="F429" i="2"/>
  <c r="E429" i="2"/>
  <c r="D429" i="2"/>
  <c r="C429" i="2"/>
  <c r="F428" i="2"/>
  <c r="E428" i="2"/>
  <c r="D428" i="2"/>
  <c r="C428" i="2"/>
  <c r="F427" i="2"/>
  <c r="E427" i="2"/>
  <c r="D427" i="2"/>
  <c r="C427" i="2"/>
  <c r="F426" i="2"/>
  <c r="E426" i="2"/>
  <c r="D426" i="2"/>
  <c r="C426" i="2"/>
  <c r="F424" i="2"/>
  <c r="E424" i="2"/>
  <c r="D424" i="2"/>
  <c r="C424" i="2"/>
  <c r="F423" i="2"/>
  <c r="E423" i="2"/>
  <c r="D423" i="2"/>
  <c r="C423" i="2"/>
  <c r="F422" i="2"/>
  <c r="E422" i="2"/>
  <c r="D422" i="2"/>
  <c r="C422" i="2"/>
  <c r="F421" i="2"/>
  <c r="E421" i="2"/>
  <c r="D421" i="2"/>
  <c r="C421" i="2"/>
  <c r="F420" i="2"/>
  <c r="E420" i="2"/>
  <c r="D420" i="2"/>
  <c r="F419" i="2"/>
  <c r="E419" i="2"/>
  <c r="D419" i="2"/>
  <c r="C419" i="2"/>
  <c r="F418" i="2"/>
  <c r="E418" i="2"/>
  <c r="D418" i="2"/>
  <c r="C418" i="2"/>
  <c r="F417" i="2"/>
  <c r="E417" i="2"/>
  <c r="D417" i="2"/>
  <c r="C417" i="2"/>
  <c r="F416" i="2"/>
  <c r="E416" i="2"/>
  <c r="D416" i="2"/>
  <c r="C416" i="2"/>
  <c r="F415" i="2"/>
  <c r="E415" i="2"/>
  <c r="D415" i="2"/>
  <c r="C415" i="2"/>
  <c r="F414" i="2"/>
  <c r="E414" i="2"/>
  <c r="D414" i="2"/>
  <c r="C414" i="2"/>
  <c r="F413" i="2"/>
  <c r="E413" i="2"/>
  <c r="D413" i="2"/>
  <c r="C413" i="2"/>
  <c r="F411" i="2"/>
  <c r="E411" i="2"/>
  <c r="D411" i="2"/>
  <c r="C411" i="2"/>
  <c r="F410" i="2"/>
  <c r="E410" i="2"/>
  <c r="D410" i="2"/>
  <c r="C410" i="2"/>
  <c r="F409" i="2"/>
  <c r="E409" i="2"/>
  <c r="D409" i="2"/>
  <c r="C409" i="2"/>
  <c r="F408" i="2"/>
  <c r="E408" i="2"/>
  <c r="D408" i="2"/>
  <c r="C408" i="2"/>
  <c r="F407" i="2"/>
  <c r="E407" i="2"/>
  <c r="D407" i="2"/>
  <c r="C407" i="2"/>
  <c r="F406" i="2"/>
  <c r="E406" i="2"/>
  <c r="D406" i="2"/>
  <c r="C406" i="2"/>
  <c r="F405" i="2"/>
  <c r="E405" i="2"/>
  <c r="D405" i="2"/>
  <c r="C405" i="2"/>
  <c r="F404" i="2"/>
  <c r="E404" i="2"/>
  <c r="D404" i="2"/>
  <c r="C404" i="2"/>
  <c r="F403" i="2"/>
  <c r="E403" i="2"/>
  <c r="D403" i="2"/>
  <c r="C403" i="2"/>
  <c r="F402" i="2"/>
  <c r="E402" i="2"/>
  <c r="D402" i="2"/>
  <c r="C402" i="2"/>
  <c r="F401" i="2"/>
  <c r="E401" i="2"/>
  <c r="D401" i="2"/>
  <c r="C401" i="2"/>
  <c r="F400" i="2"/>
  <c r="E400" i="2"/>
  <c r="D400" i="2"/>
  <c r="C400" i="2"/>
  <c r="F398" i="2"/>
  <c r="E398" i="2"/>
  <c r="D398" i="2"/>
  <c r="F397" i="2"/>
  <c r="E397" i="2"/>
  <c r="D397" i="2"/>
  <c r="C397" i="2"/>
  <c r="F396" i="2"/>
  <c r="E396" i="2"/>
  <c r="D396" i="2"/>
  <c r="C396" i="2"/>
  <c r="F395" i="2"/>
  <c r="E395" i="2"/>
  <c r="D395" i="2"/>
  <c r="C395" i="2"/>
  <c r="F394" i="2"/>
  <c r="E394" i="2"/>
  <c r="D394" i="2"/>
  <c r="C394" i="2"/>
  <c r="F393" i="2"/>
  <c r="E393" i="2"/>
  <c r="D393" i="2"/>
  <c r="C393" i="2"/>
  <c r="F392" i="2"/>
  <c r="E392" i="2"/>
  <c r="D392" i="2"/>
  <c r="C392" i="2"/>
  <c r="F391" i="2"/>
  <c r="E391" i="2"/>
  <c r="D391" i="2"/>
  <c r="F390" i="2"/>
  <c r="E390" i="2"/>
  <c r="D390" i="2"/>
  <c r="C390" i="2"/>
  <c r="F389" i="2"/>
  <c r="E389" i="2"/>
  <c r="D389" i="2"/>
  <c r="C389" i="2"/>
  <c r="F388" i="2"/>
  <c r="E388" i="2"/>
  <c r="D388" i="2"/>
  <c r="C388" i="2"/>
  <c r="F387" i="2"/>
  <c r="E387" i="2"/>
  <c r="D387" i="2"/>
  <c r="C387" i="2"/>
  <c r="F385" i="2"/>
  <c r="E385" i="2"/>
  <c r="D385" i="2"/>
  <c r="C385" i="2"/>
  <c r="F384" i="2"/>
  <c r="E384" i="2"/>
  <c r="D384" i="2"/>
  <c r="F383" i="2"/>
  <c r="E383" i="2"/>
  <c r="D383" i="2"/>
  <c r="C383" i="2"/>
  <c r="F382" i="2"/>
  <c r="E382" i="2"/>
  <c r="D382" i="2"/>
  <c r="C382" i="2"/>
  <c r="F381" i="2"/>
  <c r="E381" i="2"/>
  <c r="D381" i="2"/>
  <c r="C381" i="2"/>
  <c r="F380" i="2"/>
  <c r="E380" i="2"/>
  <c r="D380" i="2"/>
  <c r="C380" i="2"/>
  <c r="F379" i="2"/>
  <c r="E379" i="2"/>
  <c r="D379" i="2"/>
  <c r="C379" i="2"/>
  <c r="F378" i="2"/>
  <c r="E378" i="2"/>
  <c r="D378" i="2"/>
  <c r="C378" i="2"/>
  <c r="F377" i="2"/>
  <c r="E377" i="2"/>
  <c r="D377" i="2"/>
  <c r="C377" i="2"/>
  <c r="F376" i="2"/>
  <c r="E376" i="2"/>
  <c r="D376" i="2"/>
  <c r="C376" i="2"/>
  <c r="F375" i="2"/>
  <c r="E375" i="2"/>
  <c r="D375" i="2"/>
  <c r="C375" i="2"/>
  <c r="F374" i="2"/>
  <c r="E374" i="2"/>
  <c r="D374" i="2"/>
  <c r="C374" i="2"/>
  <c r="F372" i="2"/>
  <c r="E372" i="2"/>
  <c r="D372" i="2"/>
  <c r="C372" i="2"/>
  <c r="F371" i="2"/>
  <c r="E371" i="2"/>
  <c r="D371" i="2"/>
  <c r="C371" i="2"/>
  <c r="F370" i="2"/>
  <c r="E370" i="2"/>
  <c r="D370" i="2"/>
  <c r="C370" i="2"/>
  <c r="F369" i="2"/>
  <c r="E369" i="2"/>
  <c r="D369" i="2"/>
  <c r="C369" i="2"/>
  <c r="F368" i="2"/>
  <c r="E368" i="2"/>
  <c r="D368" i="2"/>
  <c r="C368" i="2"/>
  <c r="F367" i="2"/>
  <c r="E367" i="2"/>
  <c r="D367" i="2"/>
  <c r="C367" i="2"/>
  <c r="F366" i="2"/>
  <c r="E366" i="2"/>
  <c r="D366" i="2"/>
  <c r="F365" i="2"/>
  <c r="E365" i="2"/>
  <c r="D365" i="2"/>
  <c r="C365" i="2"/>
  <c r="F364" i="2"/>
  <c r="E364" i="2"/>
  <c r="D364" i="2"/>
  <c r="F363" i="2"/>
  <c r="E363" i="2"/>
  <c r="D363" i="2"/>
  <c r="C363" i="2"/>
  <c r="F362" i="2"/>
  <c r="E362" i="2"/>
  <c r="D362" i="2"/>
  <c r="C362" i="2"/>
  <c r="F361" i="2"/>
  <c r="E361" i="2"/>
  <c r="D361" i="2"/>
  <c r="C361" i="2"/>
  <c r="F359" i="2"/>
  <c r="E359" i="2"/>
  <c r="D359" i="2"/>
  <c r="C359" i="2"/>
  <c r="F358" i="2"/>
  <c r="E358" i="2"/>
  <c r="D358" i="2"/>
  <c r="C358" i="2"/>
  <c r="F357" i="2"/>
  <c r="E357" i="2"/>
  <c r="D357" i="2"/>
  <c r="C357" i="2"/>
  <c r="F356" i="2"/>
  <c r="E356" i="2"/>
  <c r="D356" i="2"/>
  <c r="C356" i="2"/>
  <c r="F355" i="2"/>
  <c r="E355" i="2"/>
  <c r="D355" i="2"/>
  <c r="C355" i="2"/>
  <c r="F354" i="2"/>
  <c r="E354" i="2"/>
  <c r="D354" i="2"/>
  <c r="C354" i="2"/>
  <c r="F353" i="2"/>
  <c r="E353" i="2"/>
  <c r="D353" i="2"/>
  <c r="C353" i="2"/>
  <c r="F352" i="2"/>
  <c r="E352" i="2"/>
  <c r="D352" i="2"/>
  <c r="C352" i="2"/>
  <c r="F351" i="2"/>
  <c r="E351" i="2"/>
  <c r="D351" i="2"/>
  <c r="C351" i="2"/>
  <c r="F350" i="2"/>
  <c r="E350" i="2"/>
  <c r="D350" i="2"/>
  <c r="C350" i="2"/>
  <c r="F349" i="2"/>
  <c r="E349" i="2"/>
  <c r="D349" i="2"/>
  <c r="C349" i="2"/>
  <c r="F348" i="2"/>
  <c r="E348" i="2"/>
  <c r="D348" i="2"/>
  <c r="C348" i="2"/>
  <c r="F346" i="2"/>
  <c r="E346" i="2"/>
  <c r="D346" i="2"/>
  <c r="C346" i="2"/>
  <c r="F345" i="2"/>
  <c r="E345" i="2"/>
  <c r="D345" i="2"/>
  <c r="C345" i="2"/>
  <c r="F344" i="2"/>
  <c r="E344" i="2"/>
  <c r="D344" i="2"/>
  <c r="C344" i="2"/>
  <c r="F343" i="2"/>
  <c r="E343" i="2"/>
  <c r="D343" i="2"/>
  <c r="C343" i="2"/>
  <c r="F342" i="2"/>
  <c r="E342" i="2"/>
  <c r="D342" i="2"/>
  <c r="F341" i="2"/>
  <c r="E341" i="2"/>
  <c r="D341" i="2"/>
  <c r="C341" i="2"/>
  <c r="F340" i="2"/>
  <c r="E340" i="2"/>
  <c r="D340" i="2"/>
  <c r="C340" i="2"/>
  <c r="F339" i="2"/>
  <c r="E339" i="2"/>
  <c r="D339" i="2"/>
  <c r="C339" i="2"/>
  <c r="F338" i="2"/>
  <c r="E338" i="2"/>
  <c r="D338" i="2"/>
  <c r="C338" i="2"/>
  <c r="F337" i="2"/>
  <c r="E337" i="2"/>
  <c r="D337" i="2"/>
  <c r="F336" i="2"/>
  <c r="E336" i="2"/>
  <c r="D336" i="2"/>
  <c r="C336" i="2"/>
  <c r="F335" i="2"/>
  <c r="E335" i="2"/>
  <c r="D335" i="2"/>
  <c r="F333" i="2"/>
  <c r="E333" i="2"/>
  <c r="D333" i="2"/>
  <c r="C333" i="2"/>
  <c r="F332" i="2"/>
  <c r="E332" i="2"/>
  <c r="D332" i="2"/>
  <c r="F331" i="2"/>
  <c r="E331" i="2"/>
  <c r="D331" i="2"/>
  <c r="C331" i="2"/>
  <c r="F330" i="2"/>
  <c r="E330" i="2"/>
  <c r="D330" i="2"/>
  <c r="F329" i="2"/>
  <c r="E329" i="2"/>
  <c r="D329" i="2"/>
  <c r="F328" i="2"/>
  <c r="E328" i="2"/>
  <c r="D328" i="2"/>
  <c r="F327" i="2"/>
  <c r="E327" i="2"/>
  <c r="D327" i="2"/>
  <c r="C327" i="2"/>
  <c r="F326" i="2"/>
  <c r="E326" i="2"/>
  <c r="D326" i="2"/>
  <c r="C326" i="2"/>
  <c r="F325" i="2"/>
  <c r="E325" i="2"/>
  <c r="D325" i="2"/>
  <c r="C325" i="2"/>
  <c r="F324" i="2"/>
  <c r="E324" i="2"/>
  <c r="D324" i="2"/>
  <c r="F323" i="2"/>
  <c r="E323" i="2"/>
  <c r="D323" i="2"/>
  <c r="C323" i="2"/>
  <c r="F322" i="2"/>
  <c r="E322" i="2"/>
  <c r="D322" i="2"/>
  <c r="C322" i="2"/>
  <c r="F320" i="2"/>
  <c r="E320" i="2"/>
  <c r="D320" i="2"/>
  <c r="F319" i="2"/>
  <c r="E319" i="2"/>
  <c r="D319" i="2"/>
  <c r="C319" i="2"/>
  <c r="F318" i="2"/>
  <c r="E318" i="2"/>
  <c r="D318" i="2"/>
  <c r="C318" i="2"/>
  <c r="F317" i="2"/>
  <c r="E317" i="2"/>
  <c r="D317" i="2"/>
  <c r="C317" i="2"/>
  <c r="F316" i="2"/>
  <c r="E316" i="2"/>
  <c r="D316" i="2"/>
  <c r="C316" i="2"/>
  <c r="F315" i="2"/>
  <c r="E315" i="2"/>
  <c r="D315" i="2"/>
  <c r="C315" i="2"/>
  <c r="F314" i="2"/>
  <c r="E314" i="2"/>
  <c r="D314" i="2"/>
  <c r="C314" i="2"/>
  <c r="F313" i="2"/>
  <c r="E313" i="2"/>
  <c r="D313" i="2"/>
  <c r="C313" i="2"/>
  <c r="F312" i="2"/>
  <c r="E312" i="2"/>
  <c r="D312" i="2"/>
  <c r="C312" i="2"/>
  <c r="F311" i="2"/>
  <c r="E311" i="2"/>
  <c r="D311" i="2"/>
  <c r="C311" i="2"/>
  <c r="F310" i="2"/>
  <c r="E310" i="2"/>
  <c r="D310" i="2"/>
  <c r="C310" i="2"/>
  <c r="F309" i="2"/>
  <c r="E309" i="2"/>
  <c r="D309" i="2"/>
  <c r="C309" i="2"/>
  <c r="F307" i="2"/>
  <c r="E307" i="2"/>
  <c r="D307" i="2"/>
  <c r="C307" i="2"/>
  <c r="F306" i="2"/>
  <c r="E306" i="2"/>
  <c r="D306" i="2"/>
  <c r="C306" i="2"/>
  <c r="F305" i="2"/>
  <c r="E305" i="2"/>
  <c r="D305" i="2"/>
  <c r="C305" i="2"/>
  <c r="F304" i="2"/>
  <c r="E304" i="2"/>
  <c r="D304" i="2"/>
  <c r="C304" i="2"/>
  <c r="F303" i="2"/>
  <c r="E303" i="2"/>
  <c r="D303" i="2"/>
  <c r="F302" i="2"/>
  <c r="E302" i="2"/>
  <c r="D302" i="2"/>
  <c r="C302" i="2"/>
  <c r="F301" i="2"/>
  <c r="E301" i="2"/>
  <c r="D301" i="2"/>
  <c r="C301" i="2"/>
  <c r="F300" i="2"/>
  <c r="E300" i="2"/>
  <c r="D300" i="2"/>
  <c r="C300" i="2"/>
  <c r="F299" i="2"/>
  <c r="E299" i="2"/>
  <c r="D299" i="2"/>
  <c r="F298" i="2"/>
  <c r="E298" i="2"/>
  <c r="D298" i="2"/>
  <c r="C298" i="2"/>
  <c r="F297" i="2"/>
  <c r="E297" i="2"/>
  <c r="D297" i="2"/>
  <c r="C297" i="2"/>
  <c r="F296" i="2"/>
  <c r="E296" i="2"/>
  <c r="D296" i="2"/>
  <c r="C296" i="2"/>
  <c r="F294" i="2"/>
  <c r="E294" i="2"/>
  <c r="D294" i="2"/>
  <c r="C294" i="2"/>
  <c r="F293" i="2"/>
  <c r="E293" i="2"/>
  <c r="D293" i="2"/>
  <c r="C293" i="2"/>
  <c r="F292" i="2"/>
  <c r="E292" i="2"/>
  <c r="D292" i="2"/>
  <c r="C292" i="2"/>
  <c r="F291" i="2"/>
  <c r="E291" i="2"/>
  <c r="D291" i="2"/>
  <c r="C291" i="2"/>
  <c r="F290" i="2"/>
  <c r="E290" i="2"/>
  <c r="D290" i="2"/>
  <c r="C290" i="2"/>
  <c r="F289" i="2"/>
  <c r="E289" i="2"/>
  <c r="D289" i="2"/>
  <c r="F288" i="2"/>
  <c r="E288" i="2"/>
  <c r="D288" i="2"/>
  <c r="C288" i="2"/>
  <c r="F287" i="2"/>
  <c r="E287" i="2"/>
  <c r="D287" i="2"/>
  <c r="C287" i="2"/>
  <c r="F286" i="2"/>
  <c r="E286" i="2"/>
  <c r="D286" i="2"/>
  <c r="F285" i="2"/>
  <c r="E285" i="2"/>
  <c r="D285" i="2"/>
  <c r="F284" i="2"/>
  <c r="E284" i="2"/>
  <c r="D284" i="2"/>
  <c r="C284" i="2"/>
  <c r="F283" i="2"/>
  <c r="E283" i="2"/>
  <c r="D283" i="2"/>
  <c r="F281" i="2"/>
  <c r="E281" i="2"/>
  <c r="D281" i="2"/>
  <c r="C281" i="2"/>
  <c r="F280" i="2"/>
  <c r="E280" i="2"/>
  <c r="D280" i="2"/>
  <c r="C280" i="2"/>
  <c r="F279" i="2"/>
  <c r="E279" i="2"/>
  <c r="D279" i="2"/>
  <c r="F278" i="2"/>
  <c r="E278" i="2"/>
  <c r="D278" i="2"/>
  <c r="C278" i="2"/>
  <c r="F277" i="2"/>
  <c r="E277" i="2"/>
  <c r="D277" i="2"/>
  <c r="C277" i="2"/>
  <c r="F276" i="2"/>
  <c r="E276" i="2"/>
  <c r="D276" i="2"/>
  <c r="F275" i="2"/>
  <c r="E275" i="2"/>
  <c r="D275" i="2"/>
  <c r="C275" i="2"/>
  <c r="F274" i="2"/>
  <c r="E274" i="2"/>
  <c r="D274" i="2"/>
  <c r="C274" i="2"/>
  <c r="F273" i="2"/>
  <c r="E273" i="2"/>
  <c r="D273" i="2"/>
  <c r="C273" i="2"/>
  <c r="F272" i="2"/>
  <c r="E272" i="2"/>
  <c r="D272" i="2"/>
  <c r="C272" i="2"/>
  <c r="F271" i="2"/>
  <c r="E271" i="2"/>
  <c r="D271" i="2"/>
  <c r="F270" i="2"/>
  <c r="E270" i="2"/>
  <c r="D270" i="2"/>
  <c r="F268" i="2"/>
  <c r="E268" i="2"/>
  <c r="D268" i="2"/>
  <c r="C268" i="2"/>
  <c r="F267" i="2"/>
  <c r="E267" i="2"/>
  <c r="D267" i="2"/>
  <c r="C267" i="2"/>
  <c r="F266" i="2"/>
  <c r="E266" i="2"/>
  <c r="D266" i="2"/>
  <c r="C266" i="2"/>
  <c r="F265" i="2"/>
  <c r="E265" i="2"/>
  <c r="D265" i="2"/>
  <c r="C265" i="2"/>
  <c r="F264" i="2"/>
  <c r="E264" i="2"/>
  <c r="D264" i="2"/>
  <c r="C264" i="2"/>
  <c r="F263" i="2"/>
  <c r="E263" i="2"/>
  <c r="D263" i="2"/>
  <c r="F262" i="2"/>
  <c r="E262" i="2"/>
  <c r="D262" i="2"/>
  <c r="C262" i="2"/>
  <c r="F261" i="2"/>
  <c r="E261" i="2"/>
  <c r="D261" i="2"/>
  <c r="F260" i="2"/>
  <c r="E260" i="2"/>
  <c r="D260" i="2"/>
  <c r="F259" i="2"/>
  <c r="E259" i="2"/>
  <c r="D259" i="2"/>
  <c r="C259" i="2"/>
  <c r="F258" i="2"/>
  <c r="E258" i="2"/>
  <c r="D258" i="2"/>
  <c r="F257" i="2"/>
  <c r="E257" i="2"/>
  <c r="D257" i="2"/>
  <c r="C257" i="2"/>
  <c r="F255" i="2"/>
  <c r="E255" i="2"/>
  <c r="D255" i="2"/>
  <c r="C255" i="2"/>
  <c r="C254" i="2"/>
  <c r="C253" i="2"/>
  <c r="C251" i="2"/>
  <c r="C247" i="2"/>
  <c r="C246" i="2"/>
  <c r="C244" i="2"/>
  <c r="C241" i="2"/>
  <c r="C240" i="2"/>
  <c r="C239" i="2"/>
  <c r="C238" i="2"/>
  <c r="C235" i="2"/>
  <c r="C234" i="2"/>
  <c r="C232" i="2"/>
  <c r="C231" i="2"/>
  <c r="C228" i="2"/>
  <c r="C226" i="2"/>
  <c r="C224" i="2"/>
  <c r="C220" i="2"/>
  <c r="C214" i="2"/>
  <c r="C212" i="2"/>
  <c r="C210" i="2"/>
  <c r="C205" i="2"/>
  <c r="C24" i="1" s="1"/>
  <c r="C201" i="2"/>
  <c r="C197" i="2"/>
  <c r="C196" i="2"/>
  <c r="C190" i="2"/>
  <c r="C183" i="2"/>
  <c r="C22" i="1" s="1"/>
  <c r="C173" i="2"/>
  <c r="C21" i="1" s="1"/>
  <c r="C37" i="2"/>
  <c r="C11" i="1" s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B11" i="1"/>
  <c r="C10" i="1"/>
  <c r="B10" i="1"/>
  <c r="C9" i="1"/>
  <c r="B9" i="1"/>
  <c r="C41" i="1" l="1"/>
  <c r="C45" i="1"/>
  <c r="C42" i="1"/>
  <c r="K50" i="1"/>
  <c r="C44" i="1"/>
  <c r="K51" i="1"/>
  <c r="C47" i="1"/>
  <c r="C32" i="1"/>
  <c r="C35" i="1"/>
  <c r="C36" i="1"/>
  <c r="C37" i="1"/>
  <c r="C43" i="1"/>
  <c r="C39" i="1"/>
  <c r="K49" i="1"/>
  <c r="J47" i="1"/>
  <c r="C26" i="1"/>
  <c r="F35" i="1"/>
  <c r="E46" i="1"/>
  <c r="E33" i="1"/>
  <c r="E45" i="1"/>
  <c r="D32" i="1"/>
  <c r="F43" i="1"/>
  <c r="F39" i="1"/>
  <c r="D35" i="1"/>
  <c r="E35" i="1"/>
  <c r="E28" i="1"/>
  <c r="E30" i="1"/>
  <c r="D38" i="1"/>
  <c r="E42" i="1"/>
  <c r="F47" i="1"/>
  <c r="D41" i="1"/>
  <c r="D42" i="1"/>
  <c r="D43" i="1"/>
  <c r="C46" i="1"/>
  <c r="C23" i="1"/>
  <c r="E32" i="1"/>
  <c r="F33" i="1"/>
  <c r="D34" i="1"/>
  <c r="D37" i="1"/>
  <c r="C40" i="1"/>
  <c r="D44" i="1"/>
  <c r="F45" i="1"/>
  <c r="F46" i="1"/>
  <c r="C25" i="1"/>
  <c r="C27" i="1"/>
  <c r="D47" i="1"/>
  <c r="C29" i="1"/>
  <c r="C31" i="1"/>
  <c r="C34" i="1"/>
  <c r="F37" i="1"/>
  <c r="C38" i="1"/>
  <c r="E39" i="1"/>
  <c r="E40" i="1"/>
  <c r="F40" i="1"/>
  <c r="F41" i="1"/>
  <c r="F44" i="1"/>
  <c r="D45" i="1"/>
  <c r="E47" i="1"/>
  <c r="F28" i="1"/>
  <c r="F30" i="1"/>
  <c r="F34" i="1"/>
  <c r="C28" i="1"/>
  <c r="D29" i="1"/>
  <c r="C33" i="1"/>
  <c r="K504" i="2"/>
  <c r="C30" i="1"/>
  <c r="D33" i="1"/>
  <c r="F42" i="1"/>
  <c r="F36" i="1"/>
  <c r="E38" i="1"/>
  <c r="D31" i="1"/>
  <c r="F32" i="1"/>
  <c r="E34" i="1"/>
  <c r="E37" i="1"/>
  <c r="F38" i="1"/>
  <c r="D39" i="1"/>
  <c r="D40" i="1"/>
  <c r="E41" i="1"/>
  <c r="E43" i="1"/>
  <c r="E44" i="1"/>
  <c r="K491" i="2"/>
  <c r="D46" i="1"/>
  <c r="D30" i="1"/>
  <c r="F29" i="1"/>
  <c r="D28" i="1"/>
  <c r="E31" i="1"/>
  <c r="F31" i="1"/>
  <c r="D36" i="1"/>
  <c r="E36" i="1"/>
  <c r="E29" i="1"/>
  <c r="K47" i="1" l="1"/>
  <c r="K56" i="1"/>
  <c r="K57" i="1"/>
</calcChain>
</file>

<file path=xl/sharedStrings.xml><?xml version="1.0" encoding="utf-8"?>
<sst xmlns="http://schemas.openxmlformats.org/spreadsheetml/2006/main" count="928" uniqueCount="415">
  <si>
    <t>Year</t>
  </si>
  <si>
    <t>Number of Deals</t>
  </si>
  <si>
    <t>Value</t>
  </si>
  <si>
    <t>Source</t>
  </si>
  <si>
    <t>in bil. USD</t>
  </si>
  <si>
    <t>in bil. EUR</t>
  </si>
  <si>
    <t>in bil. GBP</t>
  </si>
  <si>
    <t>in bil. YEN</t>
  </si>
  <si>
    <t>2000</t>
  </si>
  <si>
    <t>Capital IQ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</si>
  <si>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</si>
  <si>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</si>
  <si>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</si>
  <si>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</si>
  <si>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</si>
  <si>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</si>
  <si>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</si>
  <si>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</si>
  <si>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</si>
  <si>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</si>
  <si>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</si>
  <si>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</si>
  <si>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</si>
  <si>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</si>
  <si>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</si>
  <si>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</si>
  <si>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Total Since 1985</t>
  </si>
  <si>
    <t xml:space="preserve">Value of Deals </t>
  </si>
  <si>
    <t>Total 2021</t>
  </si>
  <si>
    <t>Total 2022</t>
  </si>
  <si>
    <t>Total 2023</t>
  </si>
  <si>
    <t>Percentage Change</t>
  </si>
  <si>
    <t>2023 to 2022</t>
  </si>
  <si>
    <t>2022 to 2021</t>
  </si>
  <si>
    <t>Number</t>
  </si>
  <si>
    <t>Jan-85</t>
  </si>
  <si>
    <t>Feb-85</t>
  </si>
  <si>
    <t>Mar-85</t>
  </si>
  <si>
    <t>Apr-85</t>
  </si>
  <si>
    <t>May-85</t>
  </si>
  <si>
    <t>Jun-85</t>
  </si>
  <si>
    <t>Jul-85</t>
  </si>
  <si>
    <t>Aug-85</t>
  </si>
  <si>
    <t>Sep-85</t>
  </si>
  <si>
    <t>Oct-85</t>
  </si>
  <si>
    <t>Nov-85</t>
  </si>
  <si>
    <t>Dec-95</t>
  </si>
  <si>
    <t>Jan-86</t>
  </si>
  <si>
    <t>Feb-86</t>
  </si>
  <si>
    <t>Mar-86</t>
  </si>
  <si>
    <t>Apr-86</t>
  </si>
  <si>
    <t>May-86</t>
  </si>
  <si>
    <t>Jun-86</t>
  </si>
  <si>
    <t>Jul-86</t>
  </si>
  <si>
    <t>Aug-86</t>
  </si>
  <si>
    <t>Sep-86</t>
  </si>
  <si>
    <t>Oct-86</t>
  </si>
  <si>
    <t>Nov-86</t>
  </si>
  <si>
    <t>Dec-86</t>
  </si>
  <si>
    <t>Jan-87</t>
  </si>
  <si>
    <t>Feb-87</t>
  </si>
  <si>
    <t>Mar-87</t>
  </si>
  <si>
    <t>Apr-87</t>
  </si>
  <si>
    <t>May-87</t>
  </si>
  <si>
    <t>Jun-87</t>
  </si>
  <si>
    <t>Jul-87</t>
  </si>
  <si>
    <t>Aug-87</t>
  </si>
  <si>
    <t>Sep-87</t>
  </si>
  <si>
    <t>Oct-87</t>
  </si>
  <si>
    <t>Nov-87</t>
  </si>
  <si>
    <t>Dec-87</t>
  </si>
  <si>
    <t>Jan-88</t>
  </si>
  <si>
    <t>Feb-88</t>
  </si>
  <si>
    <t>Mar-88</t>
  </si>
  <si>
    <t>Apr-88</t>
  </si>
  <si>
    <t>May-88</t>
  </si>
  <si>
    <t>Jun-88</t>
  </si>
  <si>
    <t>Jul-88</t>
  </si>
  <si>
    <t>Aug-88</t>
  </si>
  <si>
    <t>Sep-88</t>
  </si>
  <si>
    <t>Oct-88</t>
  </si>
  <si>
    <t>Nov-88</t>
  </si>
  <si>
    <t>Dec-88</t>
  </si>
  <si>
    <t>Jan-89</t>
  </si>
  <si>
    <t>Feb-89</t>
  </si>
  <si>
    <t>Mar-89</t>
  </si>
  <si>
    <t>Apr-89</t>
  </si>
  <si>
    <t>May-89</t>
  </si>
  <si>
    <t>Jun-89</t>
  </si>
  <si>
    <t>Jul-89</t>
  </si>
  <si>
    <t>Aug-89</t>
  </si>
  <si>
    <t>Sep-89</t>
  </si>
  <si>
    <t>Oct-89</t>
  </si>
  <si>
    <t>Nov-89</t>
  </si>
  <si>
    <t>Dec-89</t>
  </si>
  <si>
    <t>Jan-99</t>
  </si>
  <si>
    <t>Feb-99</t>
  </si>
  <si>
    <t>Mar-99</t>
  </si>
  <si>
    <t>Apr-99</t>
  </si>
  <si>
    <t>May-99</t>
  </si>
  <si>
    <t>Jun-99</t>
  </si>
  <si>
    <t>Jul-99</t>
  </si>
  <si>
    <t>Aug-99</t>
  </si>
  <si>
    <t>Sep-99</t>
  </si>
  <si>
    <t>Oct-99</t>
  </si>
  <si>
    <t>Nov-99</t>
  </si>
  <si>
    <t>Dec-99</t>
  </si>
  <si>
    <t>Jan-91</t>
  </si>
  <si>
    <t>Feb-91</t>
  </si>
  <si>
    <t>Mar-91</t>
  </si>
  <si>
    <t>Apr-91</t>
  </si>
  <si>
    <t>May-91</t>
  </si>
  <si>
    <t>Jun-91</t>
  </si>
  <si>
    <t>Jul-91</t>
  </si>
  <si>
    <t>Aug-91</t>
  </si>
  <si>
    <t>Sep-91</t>
  </si>
  <si>
    <t>Oct-91</t>
  </si>
  <si>
    <t>Nov-91</t>
  </si>
  <si>
    <t>Dec-91</t>
  </si>
  <si>
    <t>Jan-92</t>
  </si>
  <si>
    <t>Feb-92</t>
  </si>
  <si>
    <t>Mar-92</t>
  </si>
  <si>
    <t>Apr-92</t>
  </si>
  <si>
    <t>May-92</t>
  </si>
  <si>
    <t>Jun-92</t>
  </si>
  <si>
    <t>Jul-92</t>
  </si>
  <si>
    <t>Aug-92</t>
  </si>
  <si>
    <t>Sep-92</t>
  </si>
  <si>
    <t>Oct-92</t>
  </si>
  <si>
    <t>Nov-92</t>
  </si>
  <si>
    <t>Dec-92</t>
  </si>
  <si>
    <t>Jan-93</t>
  </si>
  <si>
    <t>Feb-93</t>
  </si>
  <si>
    <t>Mar-93</t>
  </si>
  <si>
    <t>Apr-93</t>
  </si>
  <si>
    <t>May-93</t>
  </si>
  <si>
    <t>Jun-93</t>
  </si>
  <si>
    <t>Jul-93</t>
  </si>
  <si>
    <t>Aug-93</t>
  </si>
  <si>
    <t>Sep-93</t>
  </si>
  <si>
    <t>Oct-93</t>
  </si>
  <si>
    <t>Nov-93</t>
  </si>
  <si>
    <t>Dec-93</t>
  </si>
  <si>
    <t>Jan-94</t>
  </si>
  <si>
    <t>Feb-94</t>
  </si>
  <si>
    <t>Mar-94</t>
  </si>
  <si>
    <t>Apr-94</t>
  </si>
  <si>
    <t>May-94</t>
  </si>
  <si>
    <t>Jun-94</t>
  </si>
  <si>
    <t>Jul-94</t>
  </si>
  <si>
    <t>Aug-94</t>
  </si>
  <si>
    <t>Sep-94</t>
  </si>
  <si>
    <t>Oct-94</t>
  </si>
  <si>
    <t>Nov-94</t>
  </si>
  <si>
    <t>Dec-94</t>
  </si>
  <si>
    <t>Jan-95</t>
  </si>
  <si>
    <t>Feb-95</t>
  </si>
  <si>
    <t>Mar-95</t>
  </si>
  <si>
    <t>Apr-95</t>
  </si>
  <si>
    <t>May-95</t>
  </si>
  <si>
    <t>Jun-95</t>
  </si>
  <si>
    <t>Jul-95</t>
  </si>
  <si>
    <t>Aug-95</t>
  </si>
  <si>
    <t>Sep-95</t>
  </si>
  <si>
    <t>Oct-95</t>
  </si>
  <si>
    <t>Nov-95</t>
  </si>
  <si>
    <t>Jan-96</t>
  </si>
  <si>
    <t>Feb-96</t>
  </si>
  <si>
    <t>Mar-96</t>
  </si>
  <si>
    <t>Apr-96</t>
  </si>
  <si>
    <t>May-96</t>
  </si>
  <si>
    <t>Jun-96</t>
  </si>
  <si>
    <t>Jul-96</t>
  </si>
  <si>
    <t>Aug-96</t>
  </si>
  <si>
    <t>Sep-96</t>
  </si>
  <si>
    <t>Oct-96</t>
  </si>
  <si>
    <t>Nov-96</t>
  </si>
  <si>
    <t>Dec-96</t>
  </si>
  <si>
    <t>Jan-97</t>
  </si>
  <si>
    <t>Feb-97</t>
  </si>
  <si>
    <t>Mar-97</t>
  </si>
  <si>
    <t>Apr-97</t>
  </si>
  <si>
    <t>May-97</t>
  </si>
  <si>
    <t>Jun-97</t>
  </si>
  <si>
    <t>Jul-97</t>
  </si>
  <si>
    <t>Aug-97</t>
  </si>
  <si>
    <t>Sep-97</t>
  </si>
  <si>
    <t>Oct-97</t>
  </si>
  <si>
    <t>Nov-97</t>
  </si>
  <si>
    <t>Dec-97</t>
  </si>
  <si>
    <t>Jan-98</t>
  </si>
  <si>
    <t>Feb-98</t>
  </si>
  <si>
    <t>Mar-98</t>
  </si>
  <si>
    <t>Apr-98</t>
  </si>
  <si>
    <t>May-98</t>
  </si>
  <si>
    <t>Jun-98</t>
  </si>
  <si>
    <t>Jul-98</t>
  </si>
  <si>
    <t>Aug-98</t>
  </si>
  <si>
    <t>Sep-98</t>
  </si>
  <si>
    <t>Oct-98</t>
  </si>
  <si>
    <t>Nov-98</t>
  </si>
  <si>
    <t>Dec-98</t>
  </si>
  <si>
    <t>Jan-00</t>
  </si>
  <si>
    <t>Feb-00</t>
  </si>
  <si>
    <t>Mar-00</t>
  </si>
  <si>
    <t>Apr-00</t>
  </si>
  <si>
    <t>May-00</t>
  </si>
  <si>
    <t>Jun-00</t>
  </si>
  <si>
    <t>Jul-00</t>
  </si>
  <si>
    <t>Aug-00</t>
  </si>
  <si>
    <t>Sep-00</t>
  </si>
  <si>
    <t>Oct-00</t>
  </si>
  <si>
    <t>Nov-00</t>
  </si>
  <si>
    <t>Dec-00</t>
  </si>
  <si>
    <t>Jan-02</t>
  </si>
  <si>
    <t>Feb-02</t>
  </si>
  <si>
    <t>Mar-02</t>
  </si>
  <si>
    <t>Apr-02</t>
  </si>
  <si>
    <t>May-02</t>
  </si>
  <si>
    <t>Jun-02</t>
  </si>
  <si>
    <t>Jul-02</t>
  </si>
  <si>
    <t>Aug-02</t>
  </si>
  <si>
    <t>Sep-02</t>
  </si>
  <si>
    <t>Oct-02</t>
  </si>
  <si>
    <t>Nov-02</t>
  </si>
  <si>
    <t>Dec-02</t>
  </si>
  <si>
    <t>Jan-03</t>
  </si>
  <si>
    <t>Feb-03</t>
  </si>
  <si>
    <t>Mar-03</t>
  </si>
  <si>
    <t>Apr-03</t>
  </si>
  <si>
    <t>May-03</t>
  </si>
  <si>
    <t>Jun-03</t>
  </si>
  <si>
    <t>Jul-03</t>
  </si>
  <si>
    <t>Aug-03</t>
  </si>
  <si>
    <t>Sep-03</t>
  </si>
  <si>
    <t>Oct-03</t>
  </si>
  <si>
    <t>Nov-03</t>
  </si>
  <si>
    <t>Dec-03</t>
  </si>
  <si>
    <t>Jan-04</t>
  </si>
  <si>
    <t>Feb-04</t>
  </si>
  <si>
    <t>Mar-04</t>
  </si>
  <si>
    <t>Apr-04</t>
  </si>
  <si>
    <t>May-04</t>
  </si>
  <si>
    <t>Jun-04</t>
  </si>
  <si>
    <t>Jul-04</t>
  </si>
  <si>
    <t>Aug-04</t>
  </si>
  <si>
    <t>Sep-04</t>
  </si>
  <si>
    <t>Oct-04</t>
  </si>
  <si>
    <t>Nov-04</t>
  </si>
  <si>
    <t>Dec-04</t>
  </si>
  <si>
    <t>Jan-05</t>
  </si>
  <si>
    <t>Feb-05</t>
  </si>
  <si>
    <t>Mar-05</t>
  </si>
  <si>
    <t>Apr-05</t>
  </si>
  <si>
    <t>May-05</t>
  </si>
  <si>
    <t>Jun-05</t>
  </si>
  <si>
    <t>Jul-05</t>
  </si>
  <si>
    <t>Aug-05</t>
  </si>
  <si>
    <t>Sep-05</t>
  </si>
  <si>
    <t>Oct-05</t>
  </si>
  <si>
    <t>Nov-05</t>
  </si>
  <si>
    <t>Dec-05</t>
  </si>
  <si>
    <t>Jan-06</t>
  </si>
  <si>
    <t>Feb-06</t>
  </si>
  <si>
    <t>Mar-06</t>
  </si>
  <si>
    <t>Apr-06</t>
  </si>
  <si>
    <t>May-06</t>
  </si>
  <si>
    <t>Jun-06</t>
  </si>
  <si>
    <t>Jul-06</t>
  </si>
  <si>
    <t>Aug-06</t>
  </si>
  <si>
    <t>Sep-06</t>
  </si>
  <si>
    <t>Oct-06</t>
  </si>
  <si>
    <t>Nov-06</t>
  </si>
  <si>
    <t>Dec-06</t>
  </si>
  <si>
    <t>Jan-07</t>
  </si>
  <si>
    <t>Feb-07</t>
  </si>
  <si>
    <t>Mar-07</t>
  </si>
  <si>
    <t>Apr-07</t>
  </si>
  <si>
    <t>May-07</t>
  </si>
  <si>
    <t>Jun-07</t>
  </si>
  <si>
    <t>Jul-07</t>
  </si>
  <si>
    <t>Aug-07</t>
  </si>
  <si>
    <t>Sep-07</t>
  </si>
  <si>
    <t>Oct-07</t>
  </si>
  <si>
    <t>Nov-07</t>
  </si>
  <si>
    <t>Dec-07</t>
  </si>
  <si>
    <t>Jan-08</t>
  </si>
  <si>
    <t>Feb-08</t>
  </si>
  <si>
    <t>Mar-08</t>
  </si>
  <si>
    <t>Apr-08</t>
  </si>
  <si>
    <t>May-08</t>
  </si>
  <si>
    <t>Jun-08</t>
  </si>
  <si>
    <t>Jul-08</t>
  </si>
  <si>
    <t>Aug-08</t>
  </si>
  <si>
    <t>Sep-08</t>
  </si>
  <si>
    <t>Oct-08</t>
  </si>
  <si>
    <t>Nov-08</t>
  </si>
  <si>
    <t>Dec-08</t>
  </si>
  <si>
    <t>Jan-09</t>
  </si>
  <si>
    <t>Feb-09</t>
  </si>
  <si>
    <t>Mar-09</t>
  </si>
  <si>
    <t>Apr-09</t>
  </si>
  <si>
    <t>May-09</t>
  </si>
  <si>
    <t>Jun-09</t>
  </si>
  <si>
    <t>Jul-09</t>
  </si>
  <si>
    <t>Aug-09</t>
  </si>
  <si>
    <t>Sep-09</t>
  </si>
  <si>
    <t>Oct-09</t>
  </si>
  <si>
    <t>Nov-09</t>
  </si>
  <si>
    <t>Dec-09</t>
  </si>
  <si>
    <t>Jan-10</t>
  </si>
  <si>
    <t>Feb-10</t>
  </si>
  <si>
    <t>Mar-10</t>
  </si>
  <si>
    <t>Apr-10</t>
  </si>
  <si>
    <t>May-10</t>
  </si>
  <si>
    <t>Jun-10</t>
  </si>
  <si>
    <t>Jul-10</t>
  </si>
  <si>
    <t>Aug-10</t>
  </si>
  <si>
    <t>Sep-10</t>
  </si>
  <si>
    <t>Oct-10</t>
  </si>
  <si>
    <t>Nov-10</t>
  </si>
  <si>
    <t>Dec-10</t>
  </si>
  <si>
    <t>Jan-11</t>
  </si>
  <si>
    <t>Feb-11</t>
  </si>
  <si>
    <t>Mar-11</t>
  </si>
  <si>
    <t>Apr-11</t>
  </si>
  <si>
    <t>May-11</t>
  </si>
  <si>
    <t>Jun-11</t>
  </si>
  <si>
    <t>Jul-11</t>
  </si>
  <si>
    <t>Aug-11</t>
  </si>
  <si>
    <t>Sep-11</t>
  </si>
  <si>
    <t>Oct-11</t>
  </si>
  <si>
    <t>Nov-11</t>
  </si>
  <si>
    <t>Dec-11</t>
  </si>
  <si>
    <t>Jan-12</t>
  </si>
  <si>
    <t>Feb-12</t>
  </si>
  <si>
    <t>Mar-12</t>
  </si>
  <si>
    <t>Apr-12</t>
  </si>
  <si>
    <t>May-12</t>
  </si>
  <si>
    <t>Jun-12</t>
  </si>
  <si>
    <t>Jul-12</t>
  </si>
  <si>
    <t>Aug-12</t>
  </si>
  <si>
    <t>Sep-12</t>
  </si>
  <si>
    <t>Oct-12</t>
  </si>
  <si>
    <t>Nov-12</t>
  </si>
  <si>
    <t>Dec-12</t>
  </si>
  <si>
    <t>Jan-13</t>
  </si>
  <si>
    <t>Feb-13</t>
  </si>
  <si>
    <t>Mar-13</t>
  </si>
  <si>
    <t>Apr-13</t>
  </si>
  <si>
    <t>May-13</t>
  </si>
  <si>
    <t>Jun-13</t>
  </si>
  <si>
    <t>Jul-13</t>
  </si>
  <si>
    <t>Aug-13</t>
  </si>
  <si>
    <t>Sep-13</t>
  </si>
  <si>
    <t>Oct-13</t>
  </si>
  <si>
    <t>Nov-13</t>
  </si>
  <si>
    <t>Dec-13</t>
  </si>
  <si>
    <t>Jan-14</t>
  </si>
  <si>
    <t>Feb-14</t>
  </si>
  <si>
    <t>Mar-14</t>
  </si>
  <si>
    <t>Apr-14</t>
  </si>
  <si>
    <t>May-14</t>
  </si>
  <si>
    <t>Jun-14</t>
  </si>
  <si>
    <t>Jul-14</t>
  </si>
  <si>
    <t>Aug-14</t>
  </si>
  <si>
    <t>Sep-14</t>
  </si>
  <si>
    <t>Oct-14</t>
  </si>
  <si>
    <t>Nov-14</t>
  </si>
  <si>
    <t>Dec-14</t>
  </si>
  <si>
    <t>Jan-15</t>
  </si>
  <si>
    <t>Feb-15</t>
  </si>
  <si>
    <t>Mar-15</t>
  </si>
  <si>
    <t>Apr-15</t>
  </si>
  <si>
    <t>May-15</t>
  </si>
  <si>
    <t>Jun-15</t>
  </si>
  <si>
    <t>Jul-15</t>
  </si>
  <si>
    <t>Aug-15</t>
  </si>
  <si>
    <t>Sep-15</t>
  </si>
  <si>
    <t>Oct-15</t>
  </si>
  <si>
    <t>Nov-15</t>
  </si>
  <si>
    <t>Dec-15</t>
  </si>
  <si>
    <t>Jan-16</t>
  </si>
  <si>
    <t>Feb-16</t>
  </si>
  <si>
    <t>Mar-16</t>
  </si>
  <si>
    <t>Apr-16</t>
  </si>
  <si>
    <t>May-16</t>
  </si>
  <si>
    <t>Jun-16</t>
  </si>
  <si>
    <t>Jul-16</t>
  </si>
  <si>
    <t>Aug-16</t>
  </si>
  <si>
    <t>Sep-16</t>
  </si>
  <si>
    <t>Oct-16</t>
  </si>
  <si>
    <t>Nov-16</t>
  </si>
  <si>
    <t>Dec-16</t>
  </si>
  <si>
    <t>Jan-17</t>
  </si>
  <si>
    <t>Feb-17</t>
  </si>
  <si>
    <t>Mar-17</t>
  </si>
  <si>
    <t>Apr-17</t>
  </si>
  <si>
    <t>May-17</t>
  </si>
  <si>
    <t>Jun-17</t>
  </si>
  <si>
    <t>Jul-17</t>
  </si>
  <si>
    <t>Aug-17</t>
  </si>
  <si>
    <t>Sep-17</t>
  </si>
  <si>
    <t>Oct-17</t>
  </si>
  <si>
    <t>Nov-17</t>
  </si>
  <si>
    <t>Dec-17</t>
  </si>
  <si>
    <t>`</t>
  </si>
  <si>
    <t>Sep-20</t>
  </si>
  <si>
    <t>Jan-Nov 2022</t>
  </si>
  <si>
    <t>Value of Deals</t>
  </si>
  <si>
    <t>Jan-Nov 2023</t>
  </si>
  <si>
    <t>ARTIFICIAL INTELLIGENCE SOFTWARE INDUSTRY</t>
  </si>
  <si>
    <t>Annual Deals  |  Published Date February 2024</t>
  </si>
  <si>
    <t>Monthly Deals  |  Published Date February 2024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</si>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</sst>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mmm\-d"/>
    <numFmt numFmtId="166" formatCode="#,##0.0"/>
    <numFmt numFmtId="167" formatCode="mmm\-dd"/>
    <numFmt numFmtId="168" formatCode="mmmm\-dd"/>
    <numFmt numFmtId="169" formatCode="mmmm\-d"/>
  </numFmts>
  <fonts count="14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26"/>
      <color theme="0"/>
      <name val="Museo Sans 900"/>
      <family val="3"/>
    </font>
    <font>
      <sz val="10"/>
      <color rgb="FF000000"/>
      <name val="Museo Sans 700"/>
      <family val="3"/>
    </font>
    <font>
      <sz val="10"/>
      <color rgb="FF000000"/>
      <name val="Arial"/>
      <family val="2"/>
    </font>
    <font>
      <sz val="10"/>
      <color theme="0"/>
      <name val="Arial"/>
      <family val="2"/>
    </font>
    <font>
      <sz val="10"/>
      <color rgb="FF000000"/>
      <name val="Museo Sans 900"/>
      <family val="3"/>
    </font>
    <font>
      <b/>
      <sz val="10"/>
      <color theme="0"/>
      <name val="Arial"/>
      <family val="2"/>
    </font>
    <font>
      <sz val="8"/>
      <name val="Arial"/>
      <family val="2"/>
    </font>
    <font>
      <sz val="9"/>
      <name val="&quot;Google Sans Mono&quot;"/>
    </font>
  </fonts>
  <fills count="10">
    <fill>
      <patternFill patternType="none"/>
    </fill>
    <fill>
      <patternFill patternType="gray125"/>
    </fill>
    <fill>
      <patternFill patternType="solid">
        <fgColor rgb="FF1529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624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DF624C"/>
        <bgColor rgb="FFFFFF00"/>
      </patternFill>
    </fill>
    <fill>
      <patternFill patternType="solid">
        <fgColor theme="4" tint="0.79998168889431442"/>
        <bgColor rgb="FFFFFFFF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3" fillId="0" borderId="0" xfId="0" applyFont="1"/>
    <xf numFmtId="4" fontId="3" fillId="0" borderId="0" xfId="0" applyNumberFormat="1" applyFont="1"/>
    <xf numFmtId="3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166" fontId="1" fillId="0" borderId="0" xfId="0" applyNumberFormat="1" applyFont="1"/>
    <xf numFmtId="165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4" fontId="4" fillId="0" borderId="0" xfId="0" applyNumberFormat="1" applyFont="1"/>
    <xf numFmtId="0" fontId="7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164" fontId="9" fillId="2" borderId="19" xfId="0" applyNumberFormat="1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/>
    </xf>
    <xf numFmtId="3" fontId="2" fillId="5" borderId="8" xfId="0" applyNumberFormat="1" applyFont="1" applyFill="1" applyBorder="1" applyAlignment="1">
      <alignment horizontal="center" vertical="center"/>
    </xf>
    <xf numFmtId="3" fontId="2" fillId="5" borderId="14" xfId="0" applyNumberFormat="1" applyFont="1" applyFill="1" applyBorder="1" applyAlignment="1">
      <alignment horizontal="center" vertical="center"/>
    </xf>
    <xf numFmtId="4" fontId="2" fillId="5" borderId="14" xfId="0" applyNumberFormat="1" applyFont="1" applyFill="1" applyBorder="1" applyAlignment="1">
      <alignment horizontal="center" vertical="center"/>
    </xf>
    <xf numFmtId="3" fontId="2" fillId="5" borderId="15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4" fontId="2" fillId="5" borderId="10" xfId="0" applyNumberFormat="1" applyFont="1" applyFill="1" applyBorder="1" applyAlignment="1">
      <alignment horizontal="center" vertical="center"/>
    </xf>
    <xf numFmtId="3" fontId="3" fillId="5" borderId="15" xfId="0" applyNumberFormat="1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horizontal="center" vertical="center"/>
    </xf>
    <xf numFmtId="3" fontId="2" fillId="6" borderId="15" xfId="0" applyNumberFormat="1" applyFont="1" applyFill="1" applyBorder="1" applyAlignment="1">
      <alignment horizontal="center" vertical="center"/>
    </xf>
    <xf numFmtId="3" fontId="2" fillId="6" borderId="10" xfId="0" applyNumberFormat="1" applyFont="1" applyFill="1" applyBorder="1" applyAlignment="1">
      <alignment horizontal="center" vertical="center"/>
    </xf>
    <xf numFmtId="4" fontId="2" fillId="6" borderId="10" xfId="0" applyNumberFormat="1" applyFont="1" applyFill="1" applyBorder="1" applyAlignment="1">
      <alignment horizontal="center" vertical="center"/>
    </xf>
    <xf numFmtId="3" fontId="3" fillId="6" borderId="15" xfId="0" applyNumberFormat="1" applyFont="1" applyFill="1" applyBorder="1" applyAlignment="1">
      <alignment horizontal="center" vertical="center"/>
    </xf>
    <xf numFmtId="4" fontId="3" fillId="6" borderId="10" xfId="0" applyNumberFormat="1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9" fillId="4" borderId="17" xfId="0" quotePrefix="1" applyFont="1" applyFill="1" applyBorder="1" applyAlignment="1">
      <alignment horizontal="center" vertical="center"/>
    </xf>
    <xf numFmtId="49" fontId="9" fillId="4" borderId="17" xfId="0" applyNumberFormat="1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3" fontId="1" fillId="5" borderId="15" xfId="0" applyNumberFormat="1" applyFont="1" applyFill="1" applyBorder="1" applyAlignment="1">
      <alignment horizontal="center" vertical="center"/>
    </xf>
    <xf numFmtId="4" fontId="1" fillId="5" borderId="10" xfId="0" applyNumberFormat="1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3" fontId="1" fillId="7" borderId="10" xfId="0" applyNumberFormat="1" applyFont="1" applyFill="1" applyBorder="1"/>
    <xf numFmtId="4" fontId="4" fillId="5" borderId="10" xfId="0" applyNumberFormat="1" applyFont="1" applyFill="1" applyBorder="1" applyAlignment="1">
      <alignment horizontal="right"/>
    </xf>
    <xf numFmtId="166" fontId="1" fillId="7" borderId="10" xfId="0" applyNumberFormat="1" applyFont="1" applyFill="1" applyBorder="1"/>
    <xf numFmtId="0" fontId="3" fillId="5" borderId="10" xfId="0" applyFont="1" applyFill="1" applyBorder="1"/>
    <xf numFmtId="0" fontId="1" fillId="5" borderId="10" xfId="0" applyFont="1" applyFill="1" applyBorder="1"/>
    <xf numFmtId="4" fontId="1" fillId="5" borderId="10" xfId="0" applyNumberFormat="1" applyFont="1" applyFill="1" applyBorder="1"/>
    <xf numFmtId="0" fontId="5" fillId="5" borderId="10" xfId="0" applyFont="1" applyFill="1" applyBorder="1" applyAlignment="1">
      <alignment horizontal="right"/>
    </xf>
    <xf numFmtId="0" fontId="1" fillId="5" borderId="10" xfId="0" applyFont="1" applyFill="1" applyBorder="1" applyAlignment="1">
      <alignment horizontal="right"/>
    </xf>
    <xf numFmtId="3" fontId="4" fillId="5" borderId="10" xfId="0" applyNumberFormat="1" applyFont="1" applyFill="1" applyBorder="1" applyAlignment="1">
      <alignment horizontal="right"/>
    </xf>
    <xf numFmtId="3" fontId="4" fillId="5" borderId="10" xfId="0" applyNumberFormat="1" applyFont="1" applyFill="1" applyBorder="1"/>
    <xf numFmtId="4" fontId="4" fillId="5" borderId="10" xfId="0" applyNumberFormat="1" applyFont="1" applyFill="1" applyBorder="1"/>
    <xf numFmtId="3" fontId="1" fillId="5" borderId="10" xfId="0" applyNumberFormat="1" applyFont="1" applyFill="1" applyBorder="1" applyAlignment="1">
      <alignment horizontal="right"/>
    </xf>
    <xf numFmtId="4" fontId="1" fillId="5" borderId="10" xfId="0" applyNumberFormat="1" applyFont="1" applyFill="1" applyBorder="1" applyAlignment="1">
      <alignment horizontal="right"/>
    </xf>
    <xf numFmtId="3" fontId="9" fillId="8" borderId="14" xfId="0" applyNumberFormat="1" applyFont="1" applyFill="1" applyBorder="1"/>
    <xf numFmtId="166" fontId="9" fillId="8" borderId="14" xfId="0" applyNumberFormat="1" applyFont="1" applyFill="1" applyBorder="1"/>
    <xf numFmtId="3" fontId="9" fillId="8" borderId="10" xfId="0" applyNumberFormat="1" applyFont="1" applyFill="1" applyBorder="1"/>
    <xf numFmtId="166" fontId="9" fillId="8" borderId="10" xfId="0" applyNumberFormat="1" applyFont="1" applyFill="1" applyBorder="1"/>
    <xf numFmtId="3" fontId="1" fillId="9" borderId="10" xfId="0" applyNumberFormat="1" applyFont="1" applyFill="1" applyBorder="1"/>
    <xf numFmtId="4" fontId="4" fillId="6" borderId="10" xfId="0" applyNumberFormat="1" applyFont="1" applyFill="1" applyBorder="1" applyAlignment="1">
      <alignment horizontal="right"/>
    </xf>
    <xf numFmtId="166" fontId="1" fillId="9" borderId="10" xfId="0" applyNumberFormat="1" applyFont="1" applyFill="1" applyBorder="1"/>
    <xf numFmtId="0" fontId="3" fillId="6" borderId="10" xfId="0" applyFont="1" applyFill="1" applyBorder="1"/>
    <xf numFmtId="0" fontId="1" fillId="6" borderId="10" xfId="0" applyFont="1" applyFill="1" applyBorder="1"/>
    <xf numFmtId="4" fontId="1" fillId="6" borderId="10" xfId="0" applyNumberFormat="1" applyFont="1" applyFill="1" applyBorder="1"/>
    <xf numFmtId="0" fontId="1" fillId="6" borderId="10" xfId="0" applyFont="1" applyFill="1" applyBorder="1" applyAlignment="1">
      <alignment horizontal="right"/>
    </xf>
    <xf numFmtId="3" fontId="4" fillId="6" borderId="10" xfId="0" applyNumberFormat="1" applyFont="1" applyFill="1" applyBorder="1" applyAlignment="1">
      <alignment horizontal="right"/>
    </xf>
    <xf numFmtId="3" fontId="5" fillId="6" borderId="10" xfId="0" applyNumberFormat="1" applyFont="1" applyFill="1" applyBorder="1" applyAlignment="1">
      <alignment horizontal="right"/>
    </xf>
    <xf numFmtId="3" fontId="4" fillId="6" borderId="10" xfId="0" applyNumberFormat="1" applyFont="1" applyFill="1" applyBorder="1"/>
    <xf numFmtId="4" fontId="4" fillId="6" borderId="10" xfId="0" applyNumberFormat="1" applyFont="1" applyFill="1" applyBorder="1"/>
    <xf numFmtId="3" fontId="1" fillId="6" borderId="10" xfId="0" applyNumberFormat="1" applyFont="1" applyFill="1" applyBorder="1" applyAlignment="1">
      <alignment horizontal="right"/>
    </xf>
    <xf numFmtId="166" fontId="1" fillId="6" borderId="10" xfId="0" applyNumberFormat="1" applyFont="1" applyFill="1" applyBorder="1" applyAlignment="1">
      <alignment horizontal="right"/>
    </xf>
    <xf numFmtId="4" fontId="9" fillId="8" borderId="10" xfId="0" applyNumberFormat="1" applyFont="1" applyFill="1" applyBorder="1"/>
    <xf numFmtId="0" fontId="9" fillId="8" borderId="10" xfId="0" applyFont="1" applyFill="1" applyBorder="1" applyAlignment="1">
      <alignment horizontal="right"/>
    </xf>
    <xf numFmtId="0" fontId="9" fillId="8" borderId="10" xfId="0" applyFont="1" applyFill="1" applyBorder="1"/>
    <xf numFmtId="165" fontId="1" fillId="5" borderId="10" xfId="0" applyNumberFormat="1" applyFont="1" applyFill="1" applyBorder="1" applyAlignment="1">
      <alignment horizontal="right"/>
    </xf>
    <xf numFmtId="165" fontId="1" fillId="6" borderId="10" xfId="0" applyNumberFormat="1" applyFont="1" applyFill="1" applyBorder="1" applyAlignment="1">
      <alignment horizontal="right"/>
    </xf>
    <xf numFmtId="165" fontId="1" fillId="5" borderId="10" xfId="0" applyNumberFormat="1" applyFont="1" applyFill="1" applyBorder="1"/>
    <xf numFmtId="165" fontId="1" fillId="6" borderId="10" xfId="0" applyNumberFormat="1" applyFont="1" applyFill="1" applyBorder="1"/>
    <xf numFmtId="169" fontId="1" fillId="5" borderId="10" xfId="0" applyNumberFormat="1" applyFont="1" applyFill="1" applyBorder="1"/>
    <xf numFmtId="169" fontId="1" fillId="6" borderId="10" xfId="0" applyNumberFormat="1" applyFont="1" applyFill="1" applyBorder="1"/>
    <xf numFmtId="0" fontId="0" fillId="5" borderId="10" xfId="0" applyFill="1" applyBorder="1"/>
    <xf numFmtId="165" fontId="3" fillId="6" borderId="10" xfId="0" applyNumberFormat="1" applyFont="1" applyFill="1" applyBorder="1"/>
    <xf numFmtId="0" fontId="0" fillId="6" borderId="10" xfId="0" applyFill="1" applyBorder="1"/>
    <xf numFmtId="49" fontId="1" fillId="6" borderId="10" xfId="0" applyNumberFormat="1" applyFont="1" applyFill="1" applyBorder="1" applyAlignment="1">
      <alignment horizontal="right"/>
    </xf>
    <xf numFmtId="49" fontId="1" fillId="5" borderId="10" xfId="0" applyNumberFormat="1" applyFont="1" applyFill="1" applyBorder="1" applyAlignment="1">
      <alignment horizontal="right"/>
    </xf>
    <xf numFmtId="169" fontId="1" fillId="5" borderId="10" xfId="0" applyNumberFormat="1" applyFont="1" applyFill="1" applyBorder="1" applyAlignment="1">
      <alignment horizontal="right"/>
    </xf>
    <xf numFmtId="167" fontId="1" fillId="5" borderId="10" xfId="0" applyNumberFormat="1" applyFont="1" applyFill="1" applyBorder="1"/>
    <xf numFmtId="0" fontId="1" fillId="7" borderId="10" xfId="0" applyFont="1" applyFill="1" applyBorder="1"/>
    <xf numFmtId="167" fontId="1" fillId="6" borderId="10" xfId="0" applyNumberFormat="1" applyFont="1" applyFill="1" applyBorder="1"/>
    <xf numFmtId="0" fontId="1" fillId="9" borderId="10" xfId="0" applyFont="1" applyFill="1" applyBorder="1"/>
    <xf numFmtId="0" fontId="1" fillId="7" borderId="10" xfId="0" applyFont="1" applyFill="1" applyBorder="1" applyAlignment="1">
      <alignment horizontal="right"/>
    </xf>
    <xf numFmtId="0" fontId="1" fillId="9" borderId="10" xfId="0" applyFont="1" applyFill="1" applyBorder="1" applyAlignment="1">
      <alignment horizontal="right"/>
    </xf>
    <xf numFmtId="168" fontId="1" fillId="5" borderId="10" xfId="0" applyNumberFormat="1" applyFont="1" applyFill="1" applyBorder="1"/>
    <xf numFmtId="0" fontId="9" fillId="8" borderId="14" xfId="0" applyFont="1" applyFill="1" applyBorder="1" applyAlignment="1">
      <alignment horizontal="right"/>
    </xf>
    <xf numFmtId="0" fontId="9" fillId="8" borderId="14" xfId="0" applyFont="1" applyFill="1" applyBorder="1"/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3" fontId="1" fillId="5" borderId="14" xfId="0" applyNumberFormat="1" applyFont="1" applyFill="1" applyBorder="1" applyAlignment="1">
      <alignment horizontal="center" vertical="center"/>
    </xf>
    <xf numFmtId="4" fontId="1" fillId="5" borderId="14" xfId="0" applyNumberFormat="1" applyFont="1" applyFill="1" applyBorder="1" applyAlignment="1">
      <alignment horizontal="center" vertical="center"/>
    </xf>
    <xf numFmtId="4" fontId="9" fillId="2" borderId="13" xfId="0" applyNumberFormat="1" applyFont="1" applyFill="1" applyBorder="1" applyAlignment="1">
      <alignment horizontal="center" vertical="center"/>
    </xf>
    <xf numFmtId="3" fontId="1" fillId="6" borderId="15" xfId="0" applyNumberFormat="1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4" fontId="1" fillId="6" borderId="10" xfId="0" applyNumberFormat="1" applyFont="1" applyFill="1" applyBorder="1" applyAlignment="1">
      <alignment horizontal="center" vertical="center"/>
    </xf>
    <xf numFmtId="3" fontId="9" fillId="2" borderId="12" xfId="0" applyNumberFormat="1" applyFont="1" applyFill="1" applyBorder="1" applyAlignment="1">
      <alignment horizontal="center" vertical="center"/>
    </xf>
    <xf numFmtId="3" fontId="9" fillId="2" borderId="13" xfId="0" applyNumberFormat="1" applyFont="1" applyFill="1" applyBorder="1" applyAlignment="1">
      <alignment horizontal="center" vertical="center"/>
    </xf>
    <xf numFmtId="2" fontId="13" fillId="7" borderId="8" xfId="0" applyNumberFormat="1" applyFont="1" applyFill="1" applyBorder="1" applyAlignment="1">
      <alignment horizontal="center" vertical="center"/>
    </xf>
    <xf numFmtId="2" fontId="13" fillId="7" borderId="14" xfId="0" applyNumberFormat="1" applyFont="1" applyFill="1" applyBorder="1" applyAlignment="1">
      <alignment horizontal="center" vertical="center"/>
    </xf>
    <xf numFmtId="2" fontId="13" fillId="9" borderId="15" xfId="0" applyNumberFormat="1" applyFont="1" applyFill="1" applyBorder="1" applyAlignment="1">
      <alignment horizontal="center" vertical="center"/>
    </xf>
    <xf numFmtId="2" fontId="13" fillId="9" borderId="1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64" fontId="9" fillId="2" borderId="21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3" fontId="9" fillId="2" borderId="12" xfId="0" applyNumberFormat="1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F624C"/>
      <color rgb="FF1529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>
                <a:solidFill>
                  <a:srgbClr val="000000"/>
                </a:solidFill>
                <a:latin typeface="Roboto"/>
              </a:defRPr>
            </a:pPr>
            <a:r>
              <a:rPr lang="en-PH" sz="1600" b="1">
                <a:solidFill>
                  <a:srgbClr val="152963"/>
                </a:solidFill>
                <a:latin typeface="Museo Sans 900" panose="02000000000000000000" pitchFamily="50" charset="0"/>
              </a:rPr>
              <a:t>Mergers &amp; Acquisitions - Artificial Intelligence Software</a:t>
            </a:r>
          </a:p>
        </c:rich>
      </c:tx>
      <c:layout>
        <c:manualLayout>
          <c:xMode val="edge"/>
          <c:yMode val="edge"/>
          <c:x val="0.31669095441595441"/>
          <c:y val="2.5980092592592596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Number</c:v>
          </c:tx>
          <c:spPr>
            <a:solidFill>
              <a:srgbClr val="15296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Annually!$A$9:$A$47</c:f>
              <c:strCach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strCache>
            </c:strRef>
          </c:cat>
          <c:val>
            <c:numRef>
              <c:f>Annually!$B$9:$B$47</c:f>
              <c:numCache>
                <c:formatCode>#,##0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7</c:v>
                </c:pt>
                <c:pt idx="14">
                  <c:v>9</c:v>
                </c:pt>
                <c:pt idx="15">
                  <c:v>13</c:v>
                </c:pt>
                <c:pt idx="16">
                  <c:v>15</c:v>
                </c:pt>
                <c:pt idx="17">
                  <c:v>22</c:v>
                </c:pt>
                <c:pt idx="18">
                  <c:v>21</c:v>
                </c:pt>
                <c:pt idx="19">
                  <c:v>23</c:v>
                </c:pt>
                <c:pt idx="20">
                  <c:v>28</c:v>
                </c:pt>
                <c:pt idx="21">
                  <c:v>36</c:v>
                </c:pt>
                <c:pt idx="22">
                  <c:v>39</c:v>
                </c:pt>
                <c:pt idx="23">
                  <c:v>39</c:v>
                </c:pt>
                <c:pt idx="24">
                  <c:v>25</c:v>
                </c:pt>
                <c:pt idx="25">
                  <c:v>45</c:v>
                </c:pt>
                <c:pt idx="26">
                  <c:v>44</c:v>
                </c:pt>
                <c:pt idx="27">
                  <c:v>33</c:v>
                </c:pt>
                <c:pt idx="28">
                  <c:v>50</c:v>
                </c:pt>
                <c:pt idx="29">
                  <c:v>49</c:v>
                </c:pt>
                <c:pt idx="30">
                  <c:v>74</c:v>
                </c:pt>
                <c:pt idx="31">
                  <c:v>65</c:v>
                </c:pt>
                <c:pt idx="32">
                  <c:v>82</c:v>
                </c:pt>
                <c:pt idx="33">
                  <c:v>93</c:v>
                </c:pt>
                <c:pt idx="34">
                  <c:v>116</c:v>
                </c:pt>
                <c:pt idx="35">
                  <c:v>113</c:v>
                </c:pt>
                <c:pt idx="36">
                  <c:v>137</c:v>
                </c:pt>
                <c:pt idx="37">
                  <c:v>121</c:v>
                </c:pt>
                <c:pt idx="38">
                  <c:v>80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91C-4F73-ADD7-BB1DD783E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1903720"/>
        <c:axId val="1373449272"/>
      </c:barChart>
      <c:lineChart>
        <c:grouping val="standard"/>
        <c:varyColors val="0"/>
        <c:ser>
          <c:idx val="1"/>
          <c:order val="1"/>
          <c:tx>
            <c:strRef>
              <c:f>Annually!$C$8</c:f>
              <c:strCache>
                <c:ptCount val="1"/>
                <c:pt idx="0">
                  <c:v>in bil. USD</c:v>
                </c:pt>
              </c:strCache>
            </c:strRef>
          </c:tx>
          <c:spPr>
            <a:ln w="19050" cmpd="sng">
              <a:solidFill>
                <a:srgbClr val="DF624C"/>
              </a:solidFill>
            </a:ln>
          </c:spPr>
          <c:marker>
            <c:symbol val="none"/>
          </c:marker>
          <c:cat>
            <c:strRef>
              <c:f>Annually!$A$9:$A$47</c:f>
              <c:strCach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strCache>
            </c:strRef>
          </c:cat>
          <c:val>
            <c:numRef>
              <c:f>Annually!$C$9:$C$47</c:f>
              <c:numCache>
                <c:formatCode>#,##0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2.01E-2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2.5000000000000001E-2</c:v>
                </c:pt>
                <c:pt idx="13">
                  <c:v>7.2800000000000004E-2</c:v>
                </c:pt>
                <c:pt idx="14">
                  <c:v>6.0490000000000002E-2</c:v>
                </c:pt>
                <c:pt idx="15" formatCode="#,##0.00">
                  <c:v>0.85319999999999996</c:v>
                </c:pt>
                <c:pt idx="16" formatCode="#,##0.00">
                  <c:v>5.2568999999999998E-2</c:v>
                </c:pt>
                <c:pt idx="17" formatCode="#,##0.00">
                  <c:v>0.58546999999999993</c:v>
                </c:pt>
                <c:pt idx="18" formatCode="#,##0.00">
                  <c:v>0.84952899999999998</c:v>
                </c:pt>
                <c:pt idx="19" formatCode="#,##0.00">
                  <c:v>0.57381000000000004</c:v>
                </c:pt>
                <c:pt idx="20" formatCode="#,##0.00">
                  <c:v>1.5324</c:v>
                </c:pt>
                <c:pt idx="21" formatCode="#,##0.00">
                  <c:v>0.8692700000000001</c:v>
                </c:pt>
                <c:pt idx="22" formatCode="#,##0.00">
                  <c:v>1.7273399999999999</c:v>
                </c:pt>
                <c:pt idx="23" formatCode="#,##0.00">
                  <c:v>0.95178300000000005</c:v>
                </c:pt>
                <c:pt idx="24" formatCode="#,##0.00">
                  <c:v>0.67447999999999997</c:v>
                </c:pt>
                <c:pt idx="25" formatCode="#,##0.00">
                  <c:v>0.64366000000000001</c:v>
                </c:pt>
                <c:pt idx="26" formatCode="#,##0.00">
                  <c:v>1.4120900000000001</c:v>
                </c:pt>
                <c:pt idx="27" formatCode="#,##0.00">
                  <c:v>4.9945760000000003</c:v>
                </c:pt>
                <c:pt idx="28" formatCode="#,##0.00">
                  <c:v>1.3040299999999998</c:v>
                </c:pt>
                <c:pt idx="29" formatCode="#,##0.00">
                  <c:v>1.3198220000000001</c:v>
                </c:pt>
                <c:pt idx="30" formatCode="#,##0.00">
                  <c:v>3.4305649999999996</c:v>
                </c:pt>
                <c:pt idx="31" formatCode="#,##0.00">
                  <c:v>3.002958</c:v>
                </c:pt>
                <c:pt idx="32" formatCode="#,##0.00">
                  <c:v>4.558694</c:v>
                </c:pt>
                <c:pt idx="33" formatCode="#,##0.00">
                  <c:v>3.6977000000000002</c:v>
                </c:pt>
                <c:pt idx="34" formatCode="#,##0.00">
                  <c:v>9.9092100000000016</c:v>
                </c:pt>
                <c:pt idx="35" formatCode="#,##0.00">
                  <c:v>86.540009999999995</c:v>
                </c:pt>
                <c:pt idx="36" formatCode="#,##0.00">
                  <c:v>23.965600000000002</c:v>
                </c:pt>
                <c:pt idx="37" formatCode="#,##0.00">
                  <c:v>2.3534000000000002</c:v>
                </c:pt>
                <c:pt idx="38" formatCode="#,##0.00">
                  <c:v>3.8983600000000003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1C-4F73-ADD7-BB1DD783E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276637"/>
        <c:axId val="1948720487"/>
      </c:lineChart>
      <c:catAx>
        <c:axId val="1621903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PH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 lvl="0">
              <a:defRPr sz="1600" b="1">
                <a:solidFill>
                  <a:srgbClr val="222222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373449272"/>
        <c:crosses val="autoZero"/>
        <c:auto val="1"/>
        <c:lblAlgn val="ctr"/>
        <c:lblOffset val="100"/>
        <c:noMultiLvlLbl val="1"/>
      </c:catAx>
      <c:valAx>
        <c:axId val="13734492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600" b="1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PH" sz="1600" b="1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Number of Transactions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 lvl="0">
              <a:defRPr sz="1600" b="1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621903720"/>
        <c:crosses val="autoZero"/>
        <c:crossBetween val="between"/>
        <c:majorUnit val="50"/>
      </c:valAx>
      <c:catAx>
        <c:axId val="130627663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48720487"/>
        <c:crosses val="autoZero"/>
        <c:auto val="1"/>
        <c:lblAlgn val="ctr"/>
        <c:lblOffset val="100"/>
        <c:noMultiLvlLbl val="1"/>
      </c:catAx>
      <c:valAx>
        <c:axId val="1948720487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 lvl="0">
                  <a:defRPr sz="1600" b="1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PH" sz="1600" b="1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Value of Transactions (in bil. USD)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 lvl="0">
              <a:defRPr sz="1600" b="1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306276637"/>
        <c:crosses val="max"/>
        <c:crossBetween val="between"/>
      </c:valAx>
    </c:plotArea>
    <c:legend>
      <c:legendPos val="b"/>
      <c:overlay val="0"/>
      <c:txPr>
        <a:bodyPr/>
        <a:lstStyle/>
        <a:p>
          <a:pPr>
            <a:defRPr sz="16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21430</xdr:colOff>
      <xdr:row>6</xdr:row>
      <xdr:rowOff>1903</xdr:rowOff>
    </xdr:from>
    <xdr:ext cx="12424569" cy="6348097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0</xdr:col>
      <xdr:colOff>1049578</xdr:colOff>
      <xdr:row>2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C9D8D9-7A18-4A01-BC6D-D9CEEA4BE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9262" cy="517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168992</xdr:colOff>
      <xdr:row>2</xdr:row>
      <xdr:rowOff>129540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2AD48A-F7F1-4412-A71C-E9F1D1128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9262" cy="517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3"/>
  <sheetViews>
    <sheetView tabSelected="1" zoomScale="30" zoomScaleNormal="30" workbookViewId="0">
      <selection activeCell="Z44" sqref="Z44"/>
    </sheetView>
  </sheetViews>
  <sheetFormatPr defaultColWidth="12.6328125" defaultRowHeight="15.75" customHeight="1" x14ac:dyDescent="0.25"/>
  <cols>
    <col min="1" max="1" width="16.54296875" customWidth="1"/>
    <col min="2" max="3" width="12.90625" customWidth="1"/>
    <col min="6" max="6" width="14.36328125" customWidth="1"/>
    <col min="7" max="7" width="15.453125" customWidth="1"/>
    <col min="9" max="9" width="19.6328125" customWidth="1"/>
    <col min="10" max="10" width="22.6328125" customWidth="1"/>
    <col min="11" max="11" width="28.36328125" customWidth="1"/>
  </cols>
  <sheetData>
    <row r="1" spans="1:26" ht="15.75" customHeight="1" x14ac:dyDescent="0.25">
      <c r="A1" s="120" t="s">
        <v>411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2"/>
    </row>
    <row r="2" spans="1:26" ht="15.75" customHeight="1" x14ac:dyDescent="0.25">
      <c r="A2" s="123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5"/>
    </row>
    <row r="3" spans="1:26" ht="15.75" customHeight="1" x14ac:dyDescent="0.25">
      <c r="A3" s="123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5"/>
    </row>
    <row r="4" spans="1:26" ht="15.75" customHeight="1" x14ac:dyDescent="0.25">
      <c r="A4" s="126" t="s">
        <v>412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8"/>
    </row>
    <row r="5" spans="1:26" ht="15.75" customHeight="1" x14ac:dyDescent="0.25">
      <c r="A5" s="1"/>
      <c r="B5" s="16"/>
      <c r="C5" s="1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26" ht="15.75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26" ht="21.65" customHeight="1" x14ac:dyDescent="0.25">
      <c r="A7" s="129" t="s">
        <v>0</v>
      </c>
      <c r="B7" s="133" t="s">
        <v>1</v>
      </c>
      <c r="C7" s="118" t="s">
        <v>2</v>
      </c>
      <c r="D7" s="119"/>
      <c r="E7" s="119"/>
      <c r="F7" s="119"/>
      <c r="G7" s="131" t="s">
        <v>3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75" customHeight="1" x14ac:dyDescent="0.25">
      <c r="A8" s="130"/>
      <c r="B8" s="134"/>
      <c r="C8" s="18" t="s">
        <v>4</v>
      </c>
      <c r="D8" s="19" t="s">
        <v>5</v>
      </c>
      <c r="E8" s="19" t="s">
        <v>6</v>
      </c>
      <c r="F8" s="19" t="s">
        <v>7</v>
      </c>
      <c r="G8" s="13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5" x14ac:dyDescent="0.25">
      <c r="A9" s="33">
        <v>1985</v>
      </c>
      <c r="B9" s="20">
        <f>SUM(Monthly!B10:B21)</f>
        <v>0</v>
      </c>
      <c r="C9" s="21">
        <f>SUM(Monthly!C10:C21)</f>
        <v>0</v>
      </c>
      <c r="D9" s="22"/>
      <c r="E9" s="22"/>
      <c r="F9" s="22"/>
      <c r="G9" s="34"/>
    </row>
    <row r="10" spans="1:26" ht="12.5" x14ac:dyDescent="0.25">
      <c r="A10" s="35">
        <v>1986</v>
      </c>
      <c r="B10" s="28">
        <f>SUM(Monthly!B23:B34)</f>
        <v>0</v>
      </c>
      <c r="C10" s="29">
        <f>SUM(Monthly!C23:C34)</f>
        <v>0</v>
      </c>
      <c r="D10" s="30"/>
      <c r="E10" s="30"/>
      <c r="F10" s="30"/>
      <c r="G10" s="36"/>
    </row>
    <row r="11" spans="1:26" ht="12.5" x14ac:dyDescent="0.25">
      <c r="A11" s="35">
        <v>1987</v>
      </c>
      <c r="B11" s="23">
        <f>SUM(Monthly!B36:B47)</f>
        <v>1</v>
      </c>
      <c r="C11" s="24">
        <f>SUM(Monthly!C36:C47)</f>
        <v>2.01E-2</v>
      </c>
      <c r="D11" s="25"/>
      <c r="E11" s="25"/>
      <c r="F11" s="25"/>
      <c r="G11" s="37"/>
    </row>
    <row r="12" spans="1:26" ht="12.5" x14ac:dyDescent="0.25">
      <c r="A12" s="35">
        <v>1988</v>
      </c>
      <c r="B12" s="28">
        <f>SUM(Monthly!B49:B60)</f>
        <v>0</v>
      </c>
      <c r="C12" s="29">
        <f>SUM(Monthly!C49:C60)</f>
        <v>0</v>
      </c>
      <c r="D12" s="30"/>
      <c r="E12" s="30"/>
      <c r="F12" s="30"/>
      <c r="G12" s="36"/>
    </row>
    <row r="13" spans="1:26" ht="12.5" x14ac:dyDescent="0.25">
      <c r="A13" s="35">
        <v>1989</v>
      </c>
      <c r="B13" s="23">
        <f>SUM(Monthly!B62:B73)</f>
        <v>0</v>
      </c>
      <c r="C13" s="24">
        <f>SUM(Monthly!C62:C73)</f>
        <v>0</v>
      </c>
      <c r="D13" s="25"/>
      <c r="E13" s="25"/>
      <c r="F13" s="25"/>
      <c r="G13" s="37"/>
    </row>
    <row r="14" spans="1:26" ht="12.5" x14ac:dyDescent="0.25">
      <c r="A14" s="35">
        <v>1990</v>
      </c>
      <c r="B14" s="28">
        <f>SUM(Monthly!B75:B86)</f>
        <v>0</v>
      </c>
      <c r="C14" s="29">
        <f>SUM(Monthly!C75:C86)</f>
        <v>0</v>
      </c>
      <c r="D14" s="30"/>
      <c r="E14" s="30"/>
      <c r="F14" s="30"/>
      <c r="G14" s="36"/>
    </row>
    <row r="15" spans="1:26" ht="12.5" x14ac:dyDescent="0.25">
      <c r="A15" s="35">
        <v>1991</v>
      </c>
      <c r="B15" s="23">
        <f>SUM(Monthly!B88:B99)</f>
        <v>0</v>
      </c>
      <c r="C15" s="24">
        <f>SUM(Monthly!C88:C99)</f>
        <v>0</v>
      </c>
      <c r="D15" s="25"/>
      <c r="E15" s="25"/>
      <c r="F15" s="25"/>
      <c r="G15" s="37"/>
    </row>
    <row r="16" spans="1:26" ht="12.5" x14ac:dyDescent="0.25">
      <c r="A16" s="35">
        <v>1992</v>
      </c>
      <c r="B16" s="28">
        <f>SUM(Monthly!B101:B112)</f>
        <v>0</v>
      </c>
      <c r="C16" s="29">
        <f>SUM(Monthly!C101:C112)</f>
        <v>0</v>
      </c>
      <c r="D16" s="30"/>
      <c r="E16" s="30"/>
      <c r="F16" s="30"/>
      <c r="G16" s="36"/>
    </row>
    <row r="17" spans="1:7" ht="12.5" x14ac:dyDescent="0.25">
      <c r="A17" s="35">
        <v>1993</v>
      </c>
      <c r="B17" s="23">
        <f>SUM(Monthly!B114:B125)</f>
        <v>0</v>
      </c>
      <c r="C17" s="24">
        <f>SUM(Monthly!C114:C125)</f>
        <v>0</v>
      </c>
      <c r="D17" s="25"/>
      <c r="E17" s="25"/>
      <c r="F17" s="25"/>
      <c r="G17" s="37"/>
    </row>
    <row r="18" spans="1:7" ht="12.5" x14ac:dyDescent="0.25">
      <c r="A18" s="35">
        <v>1994</v>
      </c>
      <c r="B18" s="28">
        <f>SUM(Monthly!B127:B138)</f>
        <v>0</v>
      </c>
      <c r="C18" s="29">
        <f>SUM(Monthly!C127:C138)</f>
        <v>0</v>
      </c>
      <c r="D18" s="30"/>
      <c r="E18" s="30"/>
      <c r="F18" s="30"/>
      <c r="G18" s="36"/>
    </row>
    <row r="19" spans="1:7" ht="12.5" x14ac:dyDescent="0.25">
      <c r="A19" s="35">
        <v>1995</v>
      </c>
      <c r="B19" s="23">
        <f>SUM(Monthly!B140:B151)</f>
        <v>0</v>
      </c>
      <c r="C19" s="24">
        <f>SUM(Monthly!C140:C151)</f>
        <v>0</v>
      </c>
      <c r="D19" s="25"/>
      <c r="E19" s="25"/>
      <c r="F19" s="25"/>
      <c r="G19" s="37"/>
    </row>
    <row r="20" spans="1:7" ht="12.5" x14ac:dyDescent="0.25">
      <c r="A20" s="35">
        <v>1996</v>
      </c>
      <c r="B20" s="28">
        <f>SUM(Monthly!B153:B164)</f>
        <v>0</v>
      </c>
      <c r="C20" s="29">
        <f>SUM(Monthly!C153:C164)</f>
        <v>0</v>
      </c>
      <c r="D20" s="30"/>
      <c r="E20" s="30"/>
      <c r="F20" s="30"/>
      <c r="G20" s="36"/>
    </row>
    <row r="21" spans="1:7" ht="12.5" x14ac:dyDescent="0.25">
      <c r="A21" s="35">
        <v>1997</v>
      </c>
      <c r="B21" s="23">
        <f>SUM(Monthly!B166:B177)</f>
        <v>1</v>
      </c>
      <c r="C21" s="24">
        <f>SUM(Monthly!C166:C177)</f>
        <v>2.5000000000000001E-2</v>
      </c>
      <c r="D21" s="25"/>
      <c r="E21" s="25"/>
      <c r="F21" s="25"/>
      <c r="G21" s="37"/>
    </row>
    <row r="22" spans="1:7" ht="12.5" x14ac:dyDescent="0.25">
      <c r="A22" s="35">
        <v>1998</v>
      </c>
      <c r="B22" s="28">
        <f>SUM(Monthly!B179:B190)</f>
        <v>7</v>
      </c>
      <c r="C22" s="29">
        <f>SUM(Monthly!C179:C190)</f>
        <v>7.2800000000000004E-2</v>
      </c>
      <c r="D22" s="30"/>
      <c r="E22" s="30"/>
      <c r="F22" s="30"/>
      <c r="G22" s="36"/>
    </row>
    <row r="23" spans="1:7" ht="12.5" x14ac:dyDescent="0.25">
      <c r="A23" s="35">
        <v>1999</v>
      </c>
      <c r="B23" s="23">
        <f>SUM(Monthly!B192:B203)</f>
        <v>9</v>
      </c>
      <c r="C23" s="24">
        <f>SUM(Monthly!C192:C203)</f>
        <v>6.0490000000000002E-2</v>
      </c>
      <c r="D23" s="25"/>
      <c r="E23" s="25"/>
      <c r="F23" s="25"/>
      <c r="G23" s="37"/>
    </row>
    <row r="24" spans="1:7" ht="12.5" x14ac:dyDescent="0.25">
      <c r="A24" s="38" t="s">
        <v>8</v>
      </c>
      <c r="B24" s="28">
        <f>SUM(Monthly!B205:B216)</f>
        <v>13</v>
      </c>
      <c r="C24" s="30">
        <f>SUM(Monthly!C205:C216)</f>
        <v>0.85319999999999996</v>
      </c>
      <c r="D24" s="30"/>
      <c r="E24" s="30"/>
      <c r="F24" s="30"/>
      <c r="G24" s="36" t="s">
        <v>9</v>
      </c>
    </row>
    <row r="25" spans="1:7" ht="12.5" x14ac:dyDescent="0.25">
      <c r="A25" s="38" t="s">
        <v>10</v>
      </c>
      <c r="B25" s="23">
        <f>SUM(Monthly!B218:B229)</f>
        <v>15</v>
      </c>
      <c r="C25" s="25">
        <f>SUM(Monthly!C218:C229)</f>
        <v>5.2568999999999998E-2</v>
      </c>
      <c r="D25" s="25"/>
      <c r="E25" s="25"/>
      <c r="F25" s="25"/>
      <c r="G25" s="37" t="s">
        <v>9</v>
      </c>
    </row>
    <row r="26" spans="1:7" ht="12.5" x14ac:dyDescent="0.25">
      <c r="A26" s="38" t="s">
        <v>11</v>
      </c>
      <c r="B26" s="28">
        <f>SUM(Monthly!B231:B242)</f>
        <v>22</v>
      </c>
      <c r="C26" s="30">
        <f>SUM(Monthly!C231:C242)</f>
        <v>0.58546999999999993</v>
      </c>
      <c r="D26" s="30"/>
      <c r="E26" s="30"/>
      <c r="F26" s="30"/>
      <c r="G26" s="36" t="s">
        <v>9</v>
      </c>
    </row>
    <row r="27" spans="1:7" ht="12.5" x14ac:dyDescent="0.25">
      <c r="A27" s="38" t="s">
        <v>12</v>
      </c>
      <c r="B27" s="23">
        <f>SUM(Monthly!B244:B255)</f>
        <v>21</v>
      </c>
      <c r="C27" s="25">
        <f>SUM(Monthly!C244:C255)</f>
        <v>0.84952899999999998</v>
      </c>
      <c r="D27" s="25"/>
      <c r="E27" s="25"/>
      <c r="F27" s="25"/>
      <c r="G27" s="37" t="s">
        <v>9</v>
      </c>
    </row>
    <row r="28" spans="1:7" ht="12.5" x14ac:dyDescent="0.25">
      <c r="A28" s="38" t="s">
        <v>13</v>
      </c>
      <c r="B28" s="28">
        <f>SUM(Monthly!B257:B268)</f>
        <v>23</v>
      </c>
      <c r="C28" s="30">
        <f>SUM(Monthly!C257:C268)</f>
        <v>0.57381000000000004</v>
      </c>
      <c r="D28" s="30">
        <f ca="1">SUM(Monthly!D257:D268)</f>
        <v>0</v>
      </c>
      <c r="E28" s="30">
        <f ca="1">SUM(Monthly!E257:E268)</f>
        <v>0</v>
      </c>
      <c r="F28" s="30">
        <f ca="1">SUM(Monthly!F257:F268)</f>
        <v>0</v>
      </c>
      <c r="G28" s="36" t="s">
        <v>9</v>
      </c>
    </row>
    <row r="29" spans="1:7" ht="12.5" x14ac:dyDescent="0.25">
      <c r="A29" s="38" t="s">
        <v>14</v>
      </c>
      <c r="B29" s="23">
        <f>SUM(Monthly!B270:B281)</f>
        <v>28</v>
      </c>
      <c r="C29" s="25">
        <f>SUM(Monthly!C270:C281)</f>
        <v>1.5324</v>
      </c>
      <c r="D29" s="25">
        <f ca="1">SUM(Monthly!D270:D281)</f>
        <v>0</v>
      </c>
      <c r="E29" s="25">
        <f ca="1">SUM(Monthly!E270:E281)</f>
        <v>0</v>
      </c>
      <c r="F29" s="25">
        <f ca="1">SUM(Monthly!F270:F281)</f>
        <v>0</v>
      </c>
      <c r="G29" s="37" t="s">
        <v>9</v>
      </c>
    </row>
    <row r="30" spans="1:7" ht="12.5" x14ac:dyDescent="0.25">
      <c r="A30" s="38" t="s">
        <v>15</v>
      </c>
      <c r="B30" s="28">
        <f>SUM(Monthly!B283:B294)</f>
        <v>36</v>
      </c>
      <c r="C30" s="30">
        <f>SUM(Monthly!C283:C294)</f>
        <v>0.8692700000000001</v>
      </c>
      <c r="D30" s="30">
        <f ca="1">SUM(Monthly!D283:D294)</f>
        <v>0</v>
      </c>
      <c r="E30" s="30">
        <f ca="1">SUM(Monthly!E283:E294)</f>
        <v>0</v>
      </c>
      <c r="F30" s="30">
        <f ca="1">SUM(Monthly!F283:F294)</f>
        <v>0</v>
      </c>
      <c r="G30" s="36" t="s">
        <v>9</v>
      </c>
    </row>
    <row r="31" spans="1:7" ht="12.5" x14ac:dyDescent="0.25">
      <c r="A31" s="38" t="s">
        <v>16</v>
      </c>
      <c r="B31" s="23">
        <f>SUM(Monthly!B296:B307)</f>
        <v>39</v>
      </c>
      <c r="C31" s="25">
        <f>SUM(Monthly!C296:C307)</f>
        <v>1.7273399999999999</v>
      </c>
      <c r="D31" s="25">
        <f ca="1">SUM(Monthly!D296:D307)</f>
        <v>0</v>
      </c>
      <c r="E31" s="25">
        <f ca="1">SUM(Monthly!E296:E307)</f>
        <v>0</v>
      </c>
      <c r="F31" s="25">
        <f ca="1">SUM(Monthly!F296:F307)</f>
        <v>0</v>
      </c>
      <c r="G31" s="37" t="s">
        <v>9</v>
      </c>
    </row>
    <row r="32" spans="1:7" ht="12.5" x14ac:dyDescent="0.25">
      <c r="A32" s="38" t="s">
        <v>17</v>
      </c>
      <c r="B32" s="28">
        <f>SUM(Monthly!B309:B320)</f>
        <v>39</v>
      </c>
      <c r="C32" s="30">
        <f>SUM(Monthly!C309:C320)</f>
        <v>0.95178300000000005</v>
      </c>
      <c r="D32" s="30">
        <f ca="1">SUM(Monthly!D309:D320)</f>
        <v>0</v>
      </c>
      <c r="E32" s="30">
        <f ca="1">SUM(Monthly!E309:E320)</f>
        <v>0</v>
      </c>
      <c r="F32" s="30">
        <f ca="1">SUM(Monthly!F309:F320)</f>
        <v>0</v>
      </c>
      <c r="G32" s="36" t="s">
        <v>9</v>
      </c>
    </row>
    <row r="33" spans="1:11" ht="12.5" x14ac:dyDescent="0.25">
      <c r="A33" s="38" t="s">
        <v>18</v>
      </c>
      <c r="B33" s="23">
        <f>SUM(Monthly!B322:B333)</f>
        <v>25</v>
      </c>
      <c r="C33" s="25">
        <f>SUM(Monthly!C322:C333)</f>
        <v>0.67447999999999997</v>
      </c>
      <c r="D33" s="25">
        <f ca="1">SUM(Monthly!D322:D333)</f>
        <v>0</v>
      </c>
      <c r="E33" s="25">
        <f ca="1">SUM(Monthly!E322:E333)</f>
        <v>0</v>
      </c>
      <c r="F33" s="25">
        <f ca="1">SUM(Monthly!F322:F333)</f>
        <v>0</v>
      </c>
      <c r="G33" s="37" t="s">
        <v>9</v>
      </c>
    </row>
    <row r="34" spans="1:11" ht="12.5" x14ac:dyDescent="0.25">
      <c r="A34" s="38" t="s">
        <v>19</v>
      </c>
      <c r="B34" s="28">
        <f>SUM(Monthly!B335:B346)</f>
        <v>45</v>
      </c>
      <c r="C34" s="30">
        <f>SUM(Monthly!C335:C346)</f>
        <v>0.64366000000000001</v>
      </c>
      <c r="D34" s="30">
        <f ca="1">SUM(Monthly!D335:D346)</f>
        <v>0</v>
      </c>
      <c r="E34" s="30">
        <f ca="1">SUM(Monthly!E335:E346)</f>
        <v>0</v>
      </c>
      <c r="F34" s="30">
        <f ca="1">SUM(Monthly!F335:F346)</f>
        <v>0</v>
      </c>
      <c r="G34" s="36" t="s">
        <v>9</v>
      </c>
    </row>
    <row r="35" spans="1:11" ht="12.5" x14ac:dyDescent="0.25">
      <c r="A35" s="38" t="s">
        <v>20</v>
      </c>
      <c r="B35" s="23">
        <f>SUM(Monthly!B348:B359)</f>
        <v>44</v>
      </c>
      <c r="C35" s="25">
        <f>SUM(Monthly!C348:C359)</f>
        <v>1.4120900000000001</v>
      </c>
      <c r="D35" s="25">
        <f ca="1">SUM(Monthly!D348:D359)</f>
        <v>0</v>
      </c>
      <c r="E35" s="25">
        <f ca="1">SUM(Monthly!E348:E359)</f>
        <v>0</v>
      </c>
      <c r="F35" s="25">
        <f ca="1">SUM(Monthly!F348:F359)</f>
        <v>0</v>
      </c>
      <c r="G35" s="37" t="s">
        <v>9</v>
      </c>
    </row>
    <row r="36" spans="1:11" ht="12.5" x14ac:dyDescent="0.25">
      <c r="A36" s="38" t="s">
        <v>21</v>
      </c>
      <c r="B36" s="28">
        <f>SUM(Monthly!B361:B372)</f>
        <v>33</v>
      </c>
      <c r="C36" s="30">
        <f>SUM(Monthly!C361:C372)</f>
        <v>4.9945760000000003</v>
      </c>
      <c r="D36" s="30">
        <f ca="1">SUM(Monthly!D361:D372)</f>
        <v>0</v>
      </c>
      <c r="E36" s="30">
        <f ca="1">SUM(Monthly!E361:E372)</f>
        <v>0</v>
      </c>
      <c r="F36" s="30">
        <f ca="1">SUM(Monthly!F361:F372)</f>
        <v>0</v>
      </c>
      <c r="G36" s="36" t="s">
        <v>9</v>
      </c>
    </row>
    <row r="37" spans="1:11" ht="12.5" x14ac:dyDescent="0.25">
      <c r="A37" s="38" t="s">
        <v>22</v>
      </c>
      <c r="B37" s="23">
        <f>SUM(Monthly!B374:B385)</f>
        <v>50</v>
      </c>
      <c r="C37" s="25">
        <f>SUM(Monthly!C374:C385)</f>
        <v>1.3040299999999998</v>
      </c>
      <c r="D37" s="25">
        <f ca="1">SUM(Monthly!D374:D385)</f>
        <v>0</v>
      </c>
      <c r="E37" s="25">
        <f ca="1">SUM(Monthly!E374:E385)</f>
        <v>0</v>
      </c>
      <c r="F37" s="25">
        <f ca="1">SUM(Monthly!F374:F385)</f>
        <v>0</v>
      </c>
      <c r="G37" s="37" t="s">
        <v>9</v>
      </c>
    </row>
    <row r="38" spans="1:11" ht="12.5" x14ac:dyDescent="0.25">
      <c r="A38" s="38" t="s">
        <v>23</v>
      </c>
      <c r="B38" s="28">
        <f>SUM(Monthly!B387:B398)</f>
        <v>49</v>
      </c>
      <c r="C38" s="30">
        <f>SUM(Monthly!C387:C398)</f>
        <v>1.3198220000000001</v>
      </c>
      <c r="D38" s="30">
        <f ca="1">SUM(Monthly!D387:D398)</f>
        <v>0</v>
      </c>
      <c r="E38" s="30">
        <f ca="1">SUM(Monthly!E387:E398)</f>
        <v>0</v>
      </c>
      <c r="F38" s="30">
        <f ca="1">SUM(Monthly!F387:F398)</f>
        <v>0</v>
      </c>
      <c r="G38" s="36" t="s">
        <v>9</v>
      </c>
    </row>
    <row r="39" spans="1:11" ht="12.5" x14ac:dyDescent="0.25">
      <c r="A39" s="38" t="s">
        <v>24</v>
      </c>
      <c r="B39" s="23">
        <f>SUM(Monthly!B400:B411)</f>
        <v>74</v>
      </c>
      <c r="C39" s="25">
        <f>SUM(Monthly!C400:C411)</f>
        <v>3.4305649999999996</v>
      </c>
      <c r="D39" s="25">
        <f ca="1">SUM(Monthly!D400:D411)</f>
        <v>0</v>
      </c>
      <c r="E39" s="25">
        <f ca="1">SUM(Monthly!E400:E411)</f>
        <v>0</v>
      </c>
      <c r="F39" s="25">
        <f ca="1">SUM(Monthly!F400:F411)</f>
        <v>0</v>
      </c>
      <c r="G39" s="37" t="s">
        <v>9</v>
      </c>
    </row>
    <row r="40" spans="1:11" ht="12.5" x14ac:dyDescent="0.25">
      <c r="A40" s="39" t="s">
        <v>25</v>
      </c>
      <c r="B40" s="28">
        <f>SUM(Monthly!B413:B424)</f>
        <v>65</v>
      </c>
      <c r="C40" s="30">
        <f>SUM(Monthly!C413:C424)</f>
        <v>3.002958</v>
      </c>
      <c r="D40" s="30">
        <f ca="1">SUM(Monthly!D413:D424)</f>
        <v>0</v>
      </c>
      <c r="E40" s="30">
        <f ca="1">SUM(Monthly!E413:E424)</f>
        <v>0</v>
      </c>
      <c r="F40" s="30">
        <f ca="1">SUM(Monthly!F413:F424)</f>
        <v>0</v>
      </c>
      <c r="G40" s="36" t="s">
        <v>9</v>
      </c>
    </row>
    <row r="41" spans="1:11" ht="12.5" x14ac:dyDescent="0.25">
      <c r="A41" s="35">
        <v>2017</v>
      </c>
      <c r="B41" s="23">
        <f>SUM(Monthly!B426:B437)</f>
        <v>82</v>
      </c>
      <c r="C41" s="25">
        <f>SUM(Monthly!C426:C437)</f>
        <v>4.558694</v>
      </c>
      <c r="D41" s="25">
        <f ca="1">SUM(Monthly!D426:D437)</f>
        <v>0</v>
      </c>
      <c r="E41" s="25">
        <f ca="1">SUM(Monthly!E426:E437)</f>
        <v>0</v>
      </c>
      <c r="F41" s="25">
        <f ca="1">SUM(Monthly!F426:F437)</f>
        <v>0</v>
      </c>
      <c r="G41" s="37" t="s">
        <v>9</v>
      </c>
    </row>
    <row r="42" spans="1:11" ht="12.5" x14ac:dyDescent="0.25">
      <c r="A42" s="35">
        <v>2018</v>
      </c>
      <c r="B42" s="28">
        <f>SUM(Monthly!B439:B450)</f>
        <v>93</v>
      </c>
      <c r="C42" s="30">
        <f>SUM(Monthly!C439:C450)</f>
        <v>3.6977000000000002</v>
      </c>
      <c r="D42" s="30">
        <f ca="1">SUM(Monthly!D439:D450)</f>
        <v>3.1498045045</v>
      </c>
      <c r="E42" s="30">
        <f ca="1">SUM(Monthly!E439:E450)</f>
        <v>2.7825695435000002</v>
      </c>
      <c r="F42" s="30">
        <f ca="1">SUM(Monthly!F439:F450)</f>
        <v>411.65879474999991</v>
      </c>
      <c r="G42" s="36" t="s">
        <v>9</v>
      </c>
    </row>
    <row r="43" spans="1:11" ht="12.5" x14ac:dyDescent="0.25">
      <c r="A43" s="35">
        <v>2019</v>
      </c>
      <c r="B43" s="23">
        <f>SUM(Monthly!B452:B463)</f>
        <v>116</v>
      </c>
      <c r="C43" s="25">
        <f>SUM(Monthly!C452:C463)</f>
        <v>9.9092100000000016</v>
      </c>
      <c r="D43" s="25">
        <f ca="1">SUM(Monthly!D452:D463)</f>
        <v>8.7939643442999955</v>
      </c>
      <c r="E43" s="25">
        <f ca="1">SUM(Monthly!E452:E463)</f>
        <v>7.5430052617999968</v>
      </c>
      <c r="F43" s="25">
        <f ca="1">SUM(Monthly!F452:F463)</f>
        <v>1099.4528856699999</v>
      </c>
      <c r="G43" s="37" t="s">
        <v>9</v>
      </c>
    </row>
    <row r="44" spans="1:11" ht="12.5" x14ac:dyDescent="0.25">
      <c r="A44" s="35">
        <v>2020</v>
      </c>
      <c r="B44" s="31">
        <f>SUM(Monthly!B465:B476)</f>
        <v>113</v>
      </c>
      <c r="C44" s="32">
        <f>SUM(Monthly!C465:C476)</f>
        <v>86.540009999999995</v>
      </c>
      <c r="D44" s="32">
        <f ca="1">SUM(Monthly!D465:D476)</f>
        <v>73.255010661799901</v>
      </c>
      <c r="E44" s="32">
        <f ca="1">SUM(Monthly!E465:E476)</f>
        <v>66.202666121009997</v>
      </c>
      <c r="F44" s="32">
        <f ca="1">SUM(Monthly!F465:F476)</f>
        <v>9099.6062991700001</v>
      </c>
      <c r="G44" s="36" t="s">
        <v>9</v>
      </c>
    </row>
    <row r="45" spans="1:11" ht="12.5" x14ac:dyDescent="0.25">
      <c r="A45" s="35">
        <v>2021</v>
      </c>
      <c r="B45" s="26">
        <f>SUM(Monthly!B478:B489)</f>
        <v>137</v>
      </c>
      <c r="C45" s="27">
        <f>SUM(Monthly!C478:C489)</f>
        <v>23.965600000000002</v>
      </c>
      <c r="D45" s="27">
        <f ca="1">SUM(Monthly!D478:D489)</f>
        <v>20.121847906999999</v>
      </c>
      <c r="E45" s="27">
        <f ca="1">SUM(Monthly!E478:E489)</f>
        <v>17.374373168999995</v>
      </c>
      <c r="F45" s="27">
        <f ca="1">SUM(Monthly!F478:F489)</f>
        <v>2622.1222028499992</v>
      </c>
      <c r="G45" s="37" t="s">
        <v>9</v>
      </c>
    </row>
    <row r="46" spans="1:11" ht="12.5" x14ac:dyDescent="0.25">
      <c r="A46" s="35">
        <v>2022</v>
      </c>
      <c r="B46" s="31">
        <f>SUM(Monthly!B491:B502)</f>
        <v>121</v>
      </c>
      <c r="C46" s="32">
        <f>SUM(Monthly!C491:C502)</f>
        <v>2.3534000000000002</v>
      </c>
      <c r="D46" s="32">
        <f ca="1">SUM(Monthly!D491:D502)</f>
        <v>2.1935488994999979</v>
      </c>
      <c r="E46" s="32">
        <f ca="1">SUM(Monthly!E491:E502)</f>
        <v>1.8610844464999996</v>
      </c>
      <c r="F46" s="32">
        <f ca="1">SUM(Monthly!F491:F502)</f>
        <v>303.07212725000005</v>
      </c>
      <c r="G46" s="36" t="s">
        <v>9</v>
      </c>
      <c r="I46" s="99" t="s">
        <v>26</v>
      </c>
      <c r="J46" s="109" t="s">
        <v>1</v>
      </c>
      <c r="K46" s="110" t="s">
        <v>27</v>
      </c>
    </row>
    <row r="47" spans="1:11" ht="12.5" x14ac:dyDescent="0.25">
      <c r="A47" s="40">
        <v>2023</v>
      </c>
      <c r="B47" s="41">
        <f>SUM(Monthly!B504:B515)</f>
        <v>80</v>
      </c>
      <c r="C47" s="42">
        <f>SUM(Monthly!C504:C515)</f>
        <v>3.8983600000000003</v>
      </c>
      <c r="D47" s="42">
        <f ca="1">SUM(Monthly!D504:D515)</f>
        <v>3.6148521122499999</v>
      </c>
      <c r="E47" s="42">
        <f ca="1">SUM(Monthly!E504:E515)</f>
        <v>3.1869298726499999</v>
      </c>
      <c r="F47" s="42">
        <f ca="1">SUM(Monthly!F504:F515)</f>
        <v>518.35280840915004</v>
      </c>
      <c r="G47" s="37" t="s">
        <v>9</v>
      </c>
      <c r="I47" s="102"/>
      <c r="J47" s="103">
        <f>SUM(B19:B47)</f>
        <v>1380</v>
      </c>
      <c r="K47" s="104">
        <f>SUM(C9:C47)</f>
        <v>159.87891599999998</v>
      </c>
    </row>
    <row r="48" spans="1:11" ht="12.5" x14ac:dyDescent="0.25">
      <c r="C48" s="4"/>
      <c r="D48" s="4"/>
      <c r="E48" s="4"/>
      <c r="F48" s="4"/>
    </row>
    <row r="49" spans="3:11" ht="12.5" x14ac:dyDescent="0.25">
      <c r="C49" s="4"/>
      <c r="D49" s="4"/>
      <c r="E49" s="4"/>
      <c r="F49" s="4"/>
      <c r="I49" s="107" t="s">
        <v>28</v>
      </c>
      <c r="J49" s="41">
        <f>SUM(Monthly!B478:B489)</f>
        <v>137</v>
      </c>
      <c r="K49" s="42">
        <f>SUM(Monthly!C478:C489)</f>
        <v>23.965600000000002</v>
      </c>
    </row>
    <row r="50" spans="3:11" ht="12.5" x14ac:dyDescent="0.25">
      <c r="D50" s="4"/>
      <c r="E50" s="4"/>
      <c r="F50" s="4"/>
      <c r="I50" s="35" t="s">
        <v>29</v>
      </c>
      <c r="J50" s="106">
        <f>SUM(Monthly!B491:B502)</f>
        <v>121</v>
      </c>
      <c r="K50" s="108">
        <f>SUM(Monthly!C491:C502)</f>
        <v>2.3534000000000002</v>
      </c>
    </row>
    <row r="51" spans="3:11" ht="12.5" x14ac:dyDescent="0.25">
      <c r="C51" s="4"/>
      <c r="D51" s="4"/>
      <c r="E51" s="4"/>
      <c r="F51" s="4"/>
      <c r="I51" s="40" t="s">
        <v>30</v>
      </c>
      <c r="J51" s="41">
        <f>SUM(Monthly!B504:B515)</f>
        <v>80</v>
      </c>
      <c r="K51" s="42">
        <f>SUM(Monthly!C504:C515)</f>
        <v>3.8983600000000003</v>
      </c>
    </row>
    <row r="52" spans="3:11" ht="12.5" x14ac:dyDescent="0.25">
      <c r="C52" s="4"/>
      <c r="D52" s="4"/>
      <c r="E52" s="4"/>
      <c r="F52" s="4"/>
      <c r="I52" s="1"/>
      <c r="J52" s="1"/>
      <c r="K52" s="1"/>
    </row>
    <row r="53" spans="3:11" ht="12.5" x14ac:dyDescent="0.25">
      <c r="C53" s="4"/>
      <c r="D53" s="4"/>
      <c r="E53" s="4"/>
      <c r="F53" s="4"/>
      <c r="I53" s="1"/>
      <c r="J53" s="1"/>
      <c r="K53" s="1"/>
    </row>
    <row r="54" spans="3:11" ht="12.5" x14ac:dyDescent="0.25">
      <c r="C54" s="4"/>
      <c r="D54" s="4"/>
      <c r="E54" s="4"/>
      <c r="F54" s="4"/>
      <c r="I54" s="1"/>
      <c r="J54" s="1"/>
      <c r="K54" s="1"/>
    </row>
    <row r="55" spans="3:11" ht="12.5" x14ac:dyDescent="0.25">
      <c r="D55" s="4"/>
      <c r="E55" s="4"/>
      <c r="F55" s="4"/>
      <c r="I55" s="115" t="s">
        <v>31</v>
      </c>
      <c r="J55" s="116"/>
      <c r="K55" s="117"/>
    </row>
    <row r="56" spans="3:11" ht="12.5" x14ac:dyDescent="0.25">
      <c r="C56" s="4"/>
      <c r="D56" s="4"/>
      <c r="E56" s="4"/>
      <c r="F56" s="4"/>
      <c r="I56" s="33" t="s">
        <v>32</v>
      </c>
      <c r="J56" s="111">
        <f>((J51-J50)/J50)*100</f>
        <v>-33.884297520661157</v>
      </c>
      <c r="K56" s="112">
        <f>((K51-K50)/K50)*100</f>
        <v>65.647998640265143</v>
      </c>
    </row>
    <row r="57" spans="3:11" ht="12.5" x14ac:dyDescent="0.25">
      <c r="C57" s="4"/>
      <c r="D57" s="4"/>
      <c r="E57" s="4"/>
      <c r="F57" s="4"/>
      <c r="I57" s="40" t="s">
        <v>33</v>
      </c>
      <c r="J57" s="113">
        <f>((J50-J49)/J49)*100</f>
        <v>-11.678832116788321</v>
      </c>
      <c r="K57" s="114">
        <f>((K50-K49)/K49)*100</f>
        <v>-90.180091464432351</v>
      </c>
    </row>
    <row r="58" spans="3:11" ht="12.5" x14ac:dyDescent="0.25">
      <c r="C58" s="4"/>
      <c r="D58" s="4"/>
      <c r="E58" s="4"/>
      <c r="F58" s="4"/>
    </row>
    <row r="59" spans="3:11" ht="12.5" x14ac:dyDescent="0.25">
      <c r="C59" s="4"/>
      <c r="D59" s="4"/>
      <c r="E59" s="4"/>
      <c r="F59" s="4"/>
    </row>
    <row r="60" spans="3:11" ht="12.5" x14ac:dyDescent="0.25">
      <c r="C60" s="4"/>
      <c r="D60" s="4"/>
      <c r="E60" s="4"/>
      <c r="F60" s="4"/>
    </row>
    <row r="61" spans="3:11" ht="12.5" x14ac:dyDescent="0.25">
      <c r="C61" s="4"/>
      <c r="D61" s="4"/>
      <c r="E61" s="4"/>
      <c r="F61" s="4"/>
    </row>
    <row r="62" spans="3:11" ht="12.5" x14ac:dyDescent="0.25">
      <c r="C62" s="4"/>
      <c r="D62" s="4"/>
      <c r="E62" s="4"/>
      <c r="F62" s="4"/>
    </row>
    <row r="63" spans="3:11" ht="12.5" x14ac:dyDescent="0.25">
      <c r="C63" s="4"/>
      <c r="D63" s="4"/>
      <c r="E63" s="4"/>
      <c r="F63" s="4"/>
    </row>
    <row r="64" spans="3:11" ht="12.5" x14ac:dyDescent="0.25">
      <c r="C64" s="4"/>
      <c r="D64" s="4"/>
      <c r="E64" s="4"/>
      <c r="F64" s="4"/>
    </row>
    <row r="65" spans="3:6" ht="12.5" x14ac:dyDescent="0.25">
      <c r="C65" s="4"/>
      <c r="D65" s="4"/>
      <c r="E65" s="4"/>
      <c r="F65" s="4"/>
    </row>
    <row r="66" spans="3:6" ht="12.5" x14ac:dyDescent="0.25">
      <c r="C66" s="4"/>
      <c r="D66" s="4"/>
      <c r="E66" s="4"/>
      <c r="F66" s="4"/>
    </row>
    <row r="67" spans="3:6" ht="12.5" x14ac:dyDescent="0.25">
      <c r="C67" s="4"/>
      <c r="D67" s="4"/>
      <c r="E67" s="4"/>
      <c r="F67" s="4"/>
    </row>
    <row r="68" spans="3:6" ht="12.5" x14ac:dyDescent="0.25">
      <c r="C68" s="4"/>
      <c r="D68" s="4"/>
      <c r="E68" s="4"/>
      <c r="F68" s="4"/>
    </row>
    <row r="69" spans="3:6" ht="12.5" x14ac:dyDescent="0.25">
      <c r="C69" s="4"/>
      <c r="D69" s="4"/>
      <c r="E69" s="4"/>
      <c r="F69" s="4"/>
    </row>
    <row r="70" spans="3:6" ht="12.5" x14ac:dyDescent="0.25">
      <c r="C70" s="4"/>
      <c r="D70" s="4"/>
      <c r="E70" s="4"/>
      <c r="F70" s="4"/>
    </row>
    <row r="71" spans="3:6" ht="12.5" x14ac:dyDescent="0.25">
      <c r="C71" s="4"/>
      <c r="D71" s="4"/>
      <c r="E71" s="4"/>
      <c r="F71" s="4"/>
    </row>
    <row r="72" spans="3:6" ht="12.5" x14ac:dyDescent="0.25">
      <c r="C72" s="4"/>
      <c r="D72" s="4"/>
      <c r="E72" s="4"/>
      <c r="F72" s="4"/>
    </row>
    <row r="73" spans="3:6" ht="12.5" x14ac:dyDescent="0.25">
      <c r="C73" s="4"/>
      <c r="D73" s="4"/>
      <c r="E73" s="4"/>
      <c r="F73" s="4"/>
    </row>
    <row r="74" spans="3:6" ht="12.5" x14ac:dyDescent="0.25">
      <c r="C74" s="4"/>
      <c r="D74" s="4"/>
      <c r="E74" s="4"/>
      <c r="F74" s="4"/>
    </row>
    <row r="75" spans="3:6" ht="12.5" x14ac:dyDescent="0.25">
      <c r="C75" s="4"/>
      <c r="D75" s="4"/>
      <c r="E75" s="4"/>
      <c r="F75" s="4"/>
    </row>
    <row r="76" spans="3:6" ht="12.5" x14ac:dyDescent="0.25">
      <c r="C76" s="4"/>
      <c r="D76" s="4"/>
      <c r="E76" s="4"/>
      <c r="F76" s="4"/>
    </row>
    <row r="77" spans="3:6" ht="12.5" x14ac:dyDescent="0.25">
      <c r="C77" s="4"/>
      <c r="D77" s="4"/>
      <c r="E77" s="4"/>
      <c r="F77" s="4"/>
    </row>
    <row r="78" spans="3:6" ht="12.5" x14ac:dyDescent="0.25">
      <c r="C78" s="4"/>
      <c r="D78" s="4"/>
      <c r="E78" s="4"/>
      <c r="F78" s="4"/>
    </row>
    <row r="79" spans="3:6" ht="12.5" x14ac:dyDescent="0.25">
      <c r="C79" s="4"/>
      <c r="D79" s="4"/>
      <c r="E79" s="4"/>
      <c r="F79" s="4"/>
    </row>
    <row r="80" spans="3:6" ht="12.5" x14ac:dyDescent="0.25">
      <c r="C80" s="4"/>
      <c r="D80" s="4"/>
      <c r="E80" s="4"/>
      <c r="F80" s="4"/>
    </row>
    <row r="81" spans="3:6" ht="12.5" x14ac:dyDescent="0.25">
      <c r="C81" s="4"/>
      <c r="D81" s="4"/>
      <c r="E81" s="4"/>
      <c r="F81" s="4"/>
    </row>
    <row r="82" spans="3:6" ht="12.5" x14ac:dyDescent="0.25">
      <c r="C82" s="4"/>
      <c r="D82" s="4"/>
      <c r="E82" s="4"/>
      <c r="F82" s="4"/>
    </row>
    <row r="83" spans="3:6" ht="12.5" x14ac:dyDescent="0.25">
      <c r="C83" s="4"/>
      <c r="D83" s="4"/>
      <c r="E83" s="4"/>
      <c r="F83" s="4"/>
    </row>
    <row r="84" spans="3:6" ht="12.5" x14ac:dyDescent="0.25">
      <c r="C84" s="4"/>
      <c r="D84" s="4"/>
      <c r="E84" s="4"/>
      <c r="F84" s="4"/>
    </row>
    <row r="85" spans="3:6" ht="12.5" x14ac:dyDescent="0.25">
      <c r="C85" s="4"/>
      <c r="D85" s="4"/>
      <c r="E85" s="4"/>
      <c r="F85" s="4"/>
    </row>
    <row r="86" spans="3:6" ht="12.5" x14ac:dyDescent="0.25">
      <c r="C86" s="4"/>
      <c r="D86" s="4"/>
      <c r="E86" s="4"/>
      <c r="F86" s="4"/>
    </row>
    <row r="87" spans="3:6" ht="12.5" x14ac:dyDescent="0.25">
      <c r="C87" s="4"/>
      <c r="D87" s="4"/>
      <c r="E87" s="4"/>
      <c r="F87" s="4"/>
    </row>
    <row r="88" spans="3:6" ht="12.5" x14ac:dyDescent="0.25">
      <c r="C88" s="4"/>
      <c r="D88" s="4"/>
      <c r="E88" s="4"/>
      <c r="F88" s="4"/>
    </row>
    <row r="89" spans="3:6" ht="12.5" x14ac:dyDescent="0.25">
      <c r="C89" s="4"/>
      <c r="D89" s="4"/>
      <c r="E89" s="4"/>
      <c r="F89" s="4"/>
    </row>
    <row r="90" spans="3:6" ht="12.5" x14ac:dyDescent="0.25">
      <c r="C90" s="4"/>
      <c r="D90" s="4"/>
      <c r="E90" s="4"/>
      <c r="F90" s="4"/>
    </row>
    <row r="91" spans="3:6" ht="12.5" x14ac:dyDescent="0.25">
      <c r="C91" s="4"/>
      <c r="D91" s="4"/>
      <c r="E91" s="4"/>
      <c r="F91" s="4"/>
    </row>
    <row r="92" spans="3:6" ht="12.5" x14ac:dyDescent="0.25">
      <c r="C92" s="4"/>
      <c r="D92" s="4"/>
      <c r="E92" s="4"/>
      <c r="F92" s="4"/>
    </row>
    <row r="93" spans="3:6" ht="12.5" x14ac:dyDescent="0.25">
      <c r="C93" s="4"/>
      <c r="D93" s="4"/>
      <c r="E93" s="4"/>
      <c r="F93" s="4"/>
    </row>
    <row r="94" spans="3:6" ht="12.5" x14ac:dyDescent="0.25">
      <c r="C94" s="4"/>
      <c r="D94" s="4"/>
      <c r="E94" s="4"/>
      <c r="F94" s="4"/>
    </row>
    <row r="95" spans="3:6" ht="12.5" x14ac:dyDescent="0.25">
      <c r="C95" s="4"/>
      <c r="D95" s="4"/>
      <c r="E95" s="4"/>
      <c r="F95" s="4"/>
    </row>
    <row r="96" spans="3:6" ht="12.5" x14ac:dyDescent="0.25">
      <c r="C96" s="4"/>
      <c r="D96" s="4"/>
      <c r="E96" s="4"/>
      <c r="F96" s="4"/>
    </row>
    <row r="97" spans="3:6" ht="12.5" x14ac:dyDescent="0.25">
      <c r="C97" s="4"/>
      <c r="D97" s="4"/>
      <c r="E97" s="4"/>
      <c r="F97" s="4"/>
    </row>
    <row r="98" spans="3:6" ht="12.5" x14ac:dyDescent="0.25">
      <c r="C98" s="4"/>
      <c r="D98" s="4"/>
      <c r="E98" s="4"/>
      <c r="F98" s="4"/>
    </row>
    <row r="99" spans="3:6" ht="12.5" x14ac:dyDescent="0.25">
      <c r="C99" s="4"/>
      <c r="D99" s="4"/>
      <c r="E99" s="4"/>
      <c r="F99" s="4"/>
    </row>
    <row r="100" spans="3:6" ht="12.5" x14ac:dyDescent="0.25">
      <c r="C100" s="4"/>
      <c r="D100" s="4"/>
      <c r="E100" s="4"/>
      <c r="F100" s="4"/>
    </row>
    <row r="101" spans="3:6" ht="12.5" x14ac:dyDescent="0.25">
      <c r="C101" s="4"/>
      <c r="D101" s="4"/>
      <c r="E101" s="4"/>
      <c r="F101" s="4"/>
    </row>
    <row r="102" spans="3:6" ht="12.5" x14ac:dyDescent="0.25">
      <c r="C102" s="4"/>
      <c r="D102" s="4"/>
      <c r="E102" s="4"/>
      <c r="F102" s="4"/>
    </row>
    <row r="103" spans="3:6" ht="12.5" x14ac:dyDescent="0.25">
      <c r="C103" s="4"/>
      <c r="D103" s="4"/>
      <c r="E103" s="4"/>
      <c r="F103" s="4"/>
    </row>
    <row r="104" spans="3:6" ht="12.5" x14ac:dyDescent="0.25">
      <c r="C104" s="4"/>
      <c r="D104" s="4"/>
      <c r="E104" s="4"/>
      <c r="F104" s="4"/>
    </row>
    <row r="105" spans="3:6" ht="12.5" x14ac:dyDescent="0.25">
      <c r="C105" s="4"/>
      <c r="D105" s="4"/>
      <c r="E105" s="4"/>
      <c r="F105" s="4"/>
    </row>
    <row r="106" spans="3:6" ht="12.5" x14ac:dyDescent="0.25">
      <c r="C106" s="4"/>
      <c r="D106" s="4"/>
      <c r="E106" s="4"/>
      <c r="F106" s="4"/>
    </row>
    <row r="107" spans="3:6" ht="12.5" x14ac:dyDescent="0.25">
      <c r="C107" s="4"/>
      <c r="D107" s="4"/>
      <c r="E107" s="4"/>
      <c r="F107" s="4"/>
    </row>
    <row r="108" spans="3:6" ht="12.5" x14ac:dyDescent="0.25">
      <c r="C108" s="4"/>
      <c r="D108" s="4"/>
      <c r="E108" s="4"/>
      <c r="F108" s="4"/>
    </row>
    <row r="109" spans="3:6" ht="12.5" x14ac:dyDescent="0.25">
      <c r="C109" s="4"/>
      <c r="D109" s="4"/>
      <c r="E109" s="4"/>
      <c r="F109" s="4"/>
    </row>
    <row r="110" spans="3:6" ht="12.5" x14ac:dyDescent="0.25">
      <c r="C110" s="4"/>
      <c r="D110" s="4"/>
      <c r="E110" s="4"/>
      <c r="F110" s="4"/>
    </row>
    <row r="111" spans="3:6" ht="12.5" x14ac:dyDescent="0.25">
      <c r="C111" s="4"/>
      <c r="D111" s="4"/>
      <c r="E111" s="4"/>
      <c r="F111" s="4"/>
    </row>
    <row r="112" spans="3:6" ht="12.5" x14ac:dyDescent="0.25">
      <c r="C112" s="4"/>
      <c r="D112" s="4"/>
      <c r="E112" s="4"/>
      <c r="F112" s="4"/>
    </row>
    <row r="113" spans="3:6" ht="12.5" x14ac:dyDescent="0.25">
      <c r="C113" s="4"/>
      <c r="D113" s="4"/>
      <c r="E113" s="4"/>
      <c r="F113" s="4"/>
    </row>
    <row r="114" spans="3:6" ht="12.5" x14ac:dyDescent="0.25">
      <c r="C114" s="4"/>
      <c r="D114" s="4"/>
      <c r="E114" s="4"/>
      <c r="F114" s="4"/>
    </row>
    <row r="115" spans="3:6" ht="12.5" x14ac:dyDescent="0.25">
      <c r="C115" s="4"/>
      <c r="D115" s="4"/>
      <c r="E115" s="4"/>
      <c r="F115" s="4"/>
    </row>
    <row r="116" spans="3:6" ht="12.5" x14ac:dyDescent="0.25">
      <c r="C116" s="4"/>
      <c r="D116" s="4"/>
      <c r="E116" s="4"/>
      <c r="F116" s="4"/>
    </row>
    <row r="117" spans="3:6" ht="12.5" x14ac:dyDescent="0.25">
      <c r="C117" s="4"/>
      <c r="D117" s="4"/>
      <c r="E117" s="4"/>
      <c r="F117" s="4"/>
    </row>
    <row r="118" spans="3:6" ht="12.5" x14ac:dyDescent="0.25">
      <c r="C118" s="4"/>
      <c r="D118" s="4"/>
      <c r="E118" s="4"/>
      <c r="F118" s="4"/>
    </row>
    <row r="119" spans="3:6" ht="12.5" x14ac:dyDescent="0.25">
      <c r="C119" s="4"/>
      <c r="D119" s="4"/>
      <c r="E119" s="4"/>
      <c r="F119" s="4"/>
    </row>
    <row r="120" spans="3:6" ht="12.5" x14ac:dyDescent="0.25">
      <c r="C120" s="4"/>
      <c r="D120" s="4"/>
      <c r="E120" s="4"/>
      <c r="F120" s="4"/>
    </row>
    <row r="121" spans="3:6" ht="12.5" x14ac:dyDescent="0.25">
      <c r="C121" s="4"/>
      <c r="D121" s="4"/>
      <c r="E121" s="4"/>
      <c r="F121" s="4"/>
    </row>
    <row r="122" spans="3:6" ht="12.5" x14ac:dyDescent="0.25">
      <c r="C122" s="4"/>
      <c r="D122" s="4"/>
      <c r="E122" s="4"/>
      <c r="F122" s="4"/>
    </row>
    <row r="123" spans="3:6" ht="12.5" x14ac:dyDescent="0.25">
      <c r="C123" s="4"/>
      <c r="D123" s="4"/>
      <c r="E123" s="4"/>
      <c r="F123" s="4"/>
    </row>
    <row r="124" spans="3:6" ht="12.5" x14ac:dyDescent="0.25">
      <c r="C124" s="4"/>
      <c r="D124" s="4"/>
      <c r="E124" s="4"/>
      <c r="F124" s="4"/>
    </row>
    <row r="125" spans="3:6" ht="12.5" x14ac:dyDescent="0.25">
      <c r="C125" s="4"/>
      <c r="D125" s="4"/>
      <c r="E125" s="4"/>
      <c r="F125" s="4"/>
    </row>
    <row r="126" spans="3:6" ht="12.5" x14ac:dyDescent="0.25">
      <c r="C126" s="4"/>
      <c r="D126" s="4"/>
      <c r="E126" s="4"/>
      <c r="F126" s="4"/>
    </row>
    <row r="127" spans="3:6" ht="12.5" x14ac:dyDescent="0.25">
      <c r="C127" s="4"/>
      <c r="D127" s="4"/>
      <c r="E127" s="4"/>
      <c r="F127" s="4"/>
    </row>
    <row r="128" spans="3:6" ht="12.5" x14ac:dyDescent="0.25">
      <c r="C128" s="4"/>
      <c r="D128" s="4"/>
      <c r="E128" s="4"/>
      <c r="F128" s="4"/>
    </row>
    <row r="129" spans="3:6" ht="12.5" x14ac:dyDescent="0.25">
      <c r="C129" s="4"/>
      <c r="D129" s="4"/>
      <c r="E129" s="4"/>
      <c r="F129" s="4"/>
    </row>
    <row r="130" spans="3:6" ht="12.5" x14ac:dyDescent="0.25">
      <c r="C130" s="4"/>
      <c r="D130" s="4"/>
      <c r="E130" s="4"/>
      <c r="F130" s="4"/>
    </row>
    <row r="131" spans="3:6" ht="12.5" x14ac:dyDescent="0.25">
      <c r="C131" s="4"/>
      <c r="D131" s="4"/>
      <c r="E131" s="4"/>
      <c r="F131" s="4"/>
    </row>
    <row r="132" spans="3:6" ht="12.5" x14ac:dyDescent="0.25">
      <c r="C132" s="4"/>
      <c r="D132" s="4"/>
      <c r="E132" s="4"/>
      <c r="F132" s="4"/>
    </row>
    <row r="133" spans="3:6" ht="12.5" x14ac:dyDescent="0.25">
      <c r="C133" s="4"/>
      <c r="D133" s="4"/>
      <c r="E133" s="4"/>
      <c r="F133" s="4"/>
    </row>
    <row r="134" spans="3:6" ht="12.5" x14ac:dyDescent="0.25">
      <c r="C134" s="4"/>
      <c r="D134" s="4"/>
      <c r="E134" s="4"/>
      <c r="F134" s="4"/>
    </row>
    <row r="135" spans="3:6" ht="12.5" x14ac:dyDescent="0.25">
      <c r="C135" s="4"/>
      <c r="D135" s="4"/>
      <c r="E135" s="4"/>
      <c r="F135" s="4"/>
    </row>
    <row r="136" spans="3:6" ht="12.5" x14ac:dyDescent="0.25">
      <c r="C136" s="4"/>
      <c r="D136" s="4"/>
      <c r="E136" s="4"/>
      <c r="F136" s="4"/>
    </row>
    <row r="137" spans="3:6" ht="12.5" x14ac:dyDescent="0.25">
      <c r="C137" s="4"/>
      <c r="D137" s="4"/>
      <c r="E137" s="4"/>
      <c r="F137" s="4"/>
    </row>
    <row r="138" spans="3:6" ht="12.5" x14ac:dyDescent="0.25">
      <c r="C138" s="4"/>
      <c r="D138" s="4"/>
      <c r="E138" s="4"/>
      <c r="F138" s="4"/>
    </row>
    <row r="139" spans="3:6" ht="12.5" x14ac:dyDescent="0.25">
      <c r="C139" s="4"/>
      <c r="D139" s="4"/>
      <c r="E139" s="4"/>
      <c r="F139" s="4"/>
    </row>
    <row r="140" spans="3:6" ht="12.5" x14ac:dyDescent="0.25">
      <c r="C140" s="4"/>
      <c r="D140" s="4"/>
      <c r="E140" s="4"/>
      <c r="F140" s="4"/>
    </row>
    <row r="141" spans="3:6" ht="12.5" x14ac:dyDescent="0.25">
      <c r="C141" s="4"/>
      <c r="D141" s="4"/>
      <c r="E141" s="4"/>
      <c r="F141" s="4"/>
    </row>
    <row r="142" spans="3:6" ht="12.5" x14ac:dyDescent="0.25">
      <c r="C142" s="4"/>
      <c r="D142" s="4"/>
      <c r="E142" s="4"/>
      <c r="F142" s="4"/>
    </row>
    <row r="143" spans="3:6" ht="12.5" x14ac:dyDescent="0.25">
      <c r="C143" s="4"/>
      <c r="D143" s="4"/>
      <c r="E143" s="4"/>
      <c r="F143" s="4"/>
    </row>
    <row r="144" spans="3:6" ht="12.5" x14ac:dyDescent="0.25">
      <c r="C144" s="4"/>
      <c r="D144" s="4"/>
      <c r="E144" s="4"/>
      <c r="F144" s="4"/>
    </row>
    <row r="145" spans="3:6" ht="12.5" x14ac:dyDescent="0.25">
      <c r="C145" s="4"/>
      <c r="D145" s="4"/>
      <c r="E145" s="4"/>
      <c r="F145" s="4"/>
    </row>
    <row r="146" spans="3:6" ht="12.5" x14ac:dyDescent="0.25">
      <c r="C146" s="4"/>
      <c r="D146" s="4"/>
      <c r="E146" s="4"/>
      <c r="F146" s="4"/>
    </row>
    <row r="147" spans="3:6" ht="12.5" x14ac:dyDescent="0.25">
      <c r="C147" s="4"/>
      <c r="D147" s="4"/>
      <c r="E147" s="4"/>
      <c r="F147" s="4"/>
    </row>
    <row r="148" spans="3:6" ht="12.5" x14ac:dyDescent="0.25">
      <c r="C148" s="4"/>
      <c r="D148" s="4"/>
      <c r="E148" s="4"/>
      <c r="F148" s="4"/>
    </row>
    <row r="149" spans="3:6" ht="12.5" x14ac:dyDescent="0.25">
      <c r="C149" s="4"/>
      <c r="D149" s="4"/>
      <c r="E149" s="4"/>
      <c r="F149" s="4"/>
    </row>
    <row r="150" spans="3:6" ht="12.5" x14ac:dyDescent="0.25">
      <c r="C150" s="4"/>
      <c r="D150" s="4"/>
      <c r="E150" s="4"/>
      <c r="F150" s="4"/>
    </row>
    <row r="151" spans="3:6" ht="12.5" x14ac:dyDescent="0.25">
      <c r="C151" s="4"/>
      <c r="D151" s="4"/>
      <c r="E151" s="4"/>
      <c r="F151" s="4"/>
    </row>
    <row r="152" spans="3:6" ht="12.5" x14ac:dyDescent="0.25">
      <c r="C152" s="4"/>
      <c r="D152" s="4"/>
      <c r="E152" s="4"/>
      <c r="F152" s="4"/>
    </row>
    <row r="153" spans="3:6" ht="12.5" x14ac:dyDescent="0.25">
      <c r="C153" s="4"/>
      <c r="D153" s="4"/>
      <c r="E153" s="4"/>
      <c r="F153" s="4"/>
    </row>
    <row r="154" spans="3:6" ht="12.5" x14ac:dyDescent="0.25">
      <c r="C154" s="4"/>
      <c r="D154" s="4"/>
      <c r="E154" s="4"/>
      <c r="F154" s="4"/>
    </row>
    <row r="155" spans="3:6" ht="12.5" x14ac:dyDescent="0.25">
      <c r="C155" s="4"/>
      <c r="D155" s="4"/>
      <c r="E155" s="4"/>
      <c r="F155" s="4"/>
    </row>
    <row r="156" spans="3:6" ht="12.5" x14ac:dyDescent="0.25">
      <c r="C156" s="4"/>
      <c r="D156" s="4"/>
      <c r="E156" s="4"/>
      <c r="F156" s="4"/>
    </row>
    <row r="157" spans="3:6" ht="12.5" x14ac:dyDescent="0.25">
      <c r="C157" s="4"/>
      <c r="D157" s="4"/>
      <c r="E157" s="4"/>
      <c r="F157" s="4"/>
    </row>
    <row r="158" spans="3:6" ht="12.5" x14ac:dyDescent="0.25">
      <c r="C158" s="4"/>
      <c r="D158" s="4"/>
      <c r="E158" s="4"/>
      <c r="F158" s="4"/>
    </row>
    <row r="159" spans="3:6" ht="12.5" x14ac:dyDescent="0.25">
      <c r="C159" s="4"/>
      <c r="D159" s="4"/>
      <c r="E159" s="4"/>
      <c r="F159" s="4"/>
    </row>
    <row r="160" spans="3:6" ht="12.5" x14ac:dyDescent="0.25">
      <c r="C160" s="4"/>
      <c r="D160" s="4"/>
      <c r="E160" s="4"/>
      <c r="F160" s="4"/>
    </row>
    <row r="161" spans="3:6" ht="12.5" x14ac:dyDescent="0.25">
      <c r="C161" s="4"/>
      <c r="D161" s="4"/>
      <c r="E161" s="4"/>
      <c r="F161" s="4"/>
    </row>
    <row r="162" spans="3:6" ht="12.5" x14ac:dyDescent="0.25">
      <c r="C162" s="4"/>
      <c r="D162" s="4"/>
      <c r="E162" s="4"/>
      <c r="F162" s="4"/>
    </row>
    <row r="163" spans="3:6" ht="12.5" x14ac:dyDescent="0.25">
      <c r="C163" s="4"/>
      <c r="D163" s="4"/>
      <c r="E163" s="4"/>
      <c r="F163" s="4"/>
    </row>
    <row r="164" spans="3:6" ht="12.5" x14ac:dyDescent="0.25">
      <c r="C164" s="4"/>
      <c r="D164" s="4"/>
      <c r="E164" s="4"/>
      <c r="F164" s="4"/>
    </row>
    <row r="165" spans="3:6" ht="12.5" x14ac:dyDescent="0.25">
      <c r="C165" s="4"/>
      <c r="D165" s="4"/>
      <c r="E165" s="4"/>
      <c r="F165" s="4"/>
    </row>
    <row r="166" spans="3:6" ht="12.5" x14ac:dyDescent="0.25">
      <c r="C166" s="4"/>
      <c r="D166" s="4"/>
      <c r="E166" s="4"/>
      <c r="F166" s="4"/>
    </row>
    <row r="167" spans="3:6" ht="12.5" x14ac:dyDescent="0.25">
      <c r="C167" s="4"/>
      <c r="D167" s="4"/>
      <c r="E167" s="4"/>
      <c r="F167" s="4"/>
    </row>
    <row r="168" spans="3:6" ht="12.5" x14ac:dyDescent="0.25">
      <c r="C168" s="4"/>
      <c r="D168" s="4"/>
      <c r="E168" s="4"/>
      <c r="F168" s="4"/>
    </row>
    <row r="169" spans="3:6" ht="12.5" x14ac:dyDescent="0.25">
      <c r="C169" s="4"/>
      <c r="D169" s="4"/>
      <c r="E169" s="4"/>
      <c r="F169" s="4"/>
    </row>
    <row r="170" spans="3:6" ht="12.5" x14ac:dyDescent="0.25">
      <c r="C170" s="4"/>
      <c r="D170" s="4"/>
      <c r="E170" s="4"/>
      <c r="F170" s="4"/>
    </row>
    <row r="171" spans="3:6" ht="12.5" x14ac:dyDescent="0.25">
      <c r="C171" s="4"/>
      <c r="D171" s="4"/>
      <c r="E171" s="4"/>
      <c r="F171" s="4"/>
    </row>
    <row r="172" spans="3:6" ht="12.5" x14ac:dyDescent="0.25">
      <c r="C172" s="4"/>
      <c r="D172" s="4"/>
      <c r="E172" s="4"/>
      <c r="F172" s="4"/>
    </row>
    <row r="173" spans="3:6" ht="12.5" x14ac:dyDescent="0.25">
      <c r="C173" s="4"/>
      <c r="D173" s="4"/>
      <c r="E173" s="4"/>
      <c r="F173" s="4"/>
    </row>
    <row r="174" spans="3:6" ht="12.5" x14ac:dyDescent="0.25">
      <c r="C174" s="4"/>
      <c r="D174" s="4"/>
      <c r="E174" s="4"/>
      <c r="F174" s="4"/>
    </row>
    <row r="175" spans="3:6" ht="12.5" x14ac:dyDescent="0.25">
      <c r="C175" s="4"/>
      <c r="D175" s="4"/>
      <c r="E175" s="4"/>
      <c r="F175" s="4"/>
    </row>
    <row r="176" spans="3:6" ht="12.5" x14ac:dyDescent="0.25">
      <c r="C176" s="4"/>
      <c r="D176" s="4"/>
      <c r="E176" s="4"/>
      <c r="F176" s="4"/>
    </row>
    <row r="177" spans="3:6" ht="12.5" x14ac:dyDescent="0.25">
      <c r="C177" s="4"/>
      <c r="D177" s="4"/>
      <c r="E177" s="4"/>
      <c r="F177" s="4"/>
    </row>
    <row r="178" spans="3:6" ht="12.5" x14ac:dyDescent="0.25">
      <c r="C178" s="4"/>
      <c r="D178" s="4"/>
      <c r="E178" s="4"/>
      <c r="F178" s="4"/>
    </row>
    <row r="179" spans="3:6" ht="12.5" x14ac:dyDescent="0.25">
      <c r="C179" s="4"/>
      <c r="D179" s="4"/>
      <c r="E179" s="4"/>
      <c r="F179" s="4"/>
    </row>
    <row r="180" spans="3:6" ht="12.5" x14ac:dyDescent="0.25">
      <c r="C180" s="4"/>
      <c r="D180" s="4"/>
      <c r="E180" s="4"/>
      <c r="F180" s="4"/>
    </row>
    <row r="181" spans="3:6" ht="12.5" x14ac:dyDescent="0.25">
      <c r="C181" s="4"/>
      <c r="D181" s="4"/>
      <c r="E181" s="4"/>
      <c r="F181" s="4"/>
    </row>
    <row r="182" spans="3:6" ht="12.5" x14ac:dyDescent="0.25">
      <c r="C182" s="4"/>
      <c r="D182" s="4"/>
      <c r="E182" s="4"/>
      <c r="F182" s="4"/>
    </row>
    <row r="183" spans="3:6" ht="12.5" x14ac:dyDescent="0.25">
      <c r="C183" s="4"/>
      <c r="D183" s="4"/>
      <c r="E183" s="4"/>
      <c r="F183" s="4"/>
    </row>
    <row r="184" spans="3:6" ht="12.5" x14ac:dyDescent="0.25">
      <c r="C184" s="4"/>
      <c r="D184" s="4"/>
      <c r="E184" s="4"/>
      <c r="F184" s="4"/>
    </row>
    <row r="185" spans="3:6" ht="12.5" x14ac:dyDescent="0.25">
      <c r="C185" s="4"/>
      <c r="D185" s="4"/>
      <c r="E185" s="4"/>
      <c r="F185" s="4"/>
    </row>
    <row r="186" spans="3:6" ht="12.5" x14ac:dyDescent="0.25">
      <c r="C186" s="4"/>
      <c r="D186" s="4"/>
      <c r="E186" s="4"/>
      <c r="F186" s="4"/>
    </row>
    <row r="187" spans="3:6" ht="12.5" x14ac:dyDescent="0.25">
      <c r="C187" s="4"/>
      <c r="D187" s="4"/>
      <c r="E187" s="4"/>
      <c r="F187" s="4"/>
    </row>
    <row r="188" spans="3:6" ht="12.5" x14ac:dyDescent="0.25">
      <c r="C188" s="4"/>
      <c r="D188" s="4"/>
      <c r="E188" s="4"/>
      <c r="F188" s="4"/>
    </row>
    <row r="189" spans="3:6" ht="12.5" x14ac:dyDescent="0.25">
      <c r="C189" s="4"/>
      <c r="D189" s="4"/>
      <c r="E189" s="4"/>
      <c r="F189" s="4"/>
    </row>
    <row r="190" spans="3:6" ht="12.5" x14ac:dyDescent="0.25">
      <c r="C190" s="4"/>
      <c r="D190" s="4"/>
      <c r="E190" s="4"/>
      <c r="F190" s="4"/>
    </row>
    <row r="191" spans="3:6" ht="12.5" x14ac:dyDescent="0.25">
      <c r="C191" s="4"/>
      <c r="D191" s="4"/>
      <c r="E191" s="4"/>
      <c r="F191" s="4"/>
    </row>
    <row r="192" spans="3:6" ht="12.5" x14ac:dyDescent="0.25">
      <c r="C192" s="4"/>
      <c r="D192" s="4"/>
      <c r="E192" s="4"/>
      <c r="F192" s="4"/>
    </row>
    <row r="193" spans="3:6" ht="12.5" x14ac:dyDescent="0.25">
      <c r="C193" s="4"/>
      <c r="D193" s="4"/>
      <c r="E193" s="4"/>
      <c r="F193" s="4"/>
    </row>
    <row r="194" spans="3:6" ht="12.5" x14ac:dyDescent="0.25">
      <c r="C194" s="4"/>
      <c r="D194" s="4"/>
      <c r="E194" s="4"/>
      <c r="F194" s="4"/>
    </row>
    <row r="195" spans="3:6" ht="12.5" x14ac:dyDescent="0.25">
      <c r="C195" s="4"/>
      <c r="D195" s="4"/>
      <c r="E195" s="4"/>
      <c r="F195" s="4"/>
    </row>
    <row r="196" spans="3:6" ht="12.5" x14ac:dyDescent="0.25">
      <c r="C196" s="4"/>
      <c r="D196" s="4"/>
      <c r="E196" s="4"/>
      <c r="F196" s="4"/>
    </row>
    <row r="197" spans="3:6" ht="12.5" x14ac:dyDescent="0.25">
      <c r="C197" s="4"/>
      <c r="D197" s="4"/>
      <c r="E197" s="4"/>
      <c r="F197" s="4"/>
    </row>
    <row r="198" spans="3:6" ht="12.5" x14ac:dyDescent="0.25">
      <c r="C198" s="4"/>
      <c r="D198" s="4"/>
      <c r="E198" s="4"/>
      <c r="F198" s="4"/>
    </row>
    <row r="199" spans="3:6" ht="12.5" x14ac:dyDescent="0.25">
      <c r="C199" s="4"/>
      <c r="D199" s="4"/>
      <c r="E199" s="4"/>
      <c r="F199" s="4"/>
    </row>
    <row r="200" spans="3:6" ht="12.5" x14ac:dyDescent="0.25">
      <c r="C200" s="4"/>
      <c r="D200" s="4"/>
      <c r="E200" s="4"/>
      <c r="F200" s="4"/>
    </row>
    <row r="201" spans="3:6" ht="12.5" x14ac:dyDescent="0.25">
      <c r="C201" s="4"/>
      <c r="D201" s="4"/>
      <c r="E201" s="4"/>
      <c r="F201" s="4"/>
    </row>
    <row r="202" spans="3:6" ht="12.5" x14ac:dyDescent="0.25">
      <c r="C202" s="4"/>
      <c r="D202" s="4"/>
      <c r="E202" s="4"/>
      <c r="F202" s="4"/>
    </row>
    <row r="203" spans="3:6" ht="12.5" x14ac:dyDescent="0.25">
      <c r="C203" s="4"/>
      <c r="D203" s="4"/>
      <c r="E203" s="4"/>
      <c r="F203" s="4"/>
    </row>
    <row r="204" spans="3:6" ht="12.5" x14ac:dyDescent="0.25">
      <c r="C204" s="4"/>
      <c r="D204" s="4"/>
      <c r="E204" s="4"/>
      <c r="F204" s="4"/>
    </row>
    <row r="205" spans="3:6" ht="12.5" x14ac:dyDescent="0.25">
      <c r="C205" s="4"/>
      <c r="D205" s="4"/>
      <c r="E205" s="4"/>
      <c r="F205" s="4"/>
    </row>
    <row r="206" spans="3:6" ht="12.5" x14ac:dyDescent="0.25">
      <c r="C206" s="4"/>
      <c r="D206" s="4"/>
      <c r="E206" s="4"/>
      <c r="F206" s="4"/>
    </row>
    <row r="207" spans="3:6" ht="12.5" x14ac:dyDescent="0.25">
      <c r="C207" s="4"/>
      <c r="D207" s="4"/>
      <c r="E207" s="4"/>
      <c r="F207" s="4"/>
    </row>
    <row r="208" spans="3:6" ht="12.5" x14ac:dyDescent="0.25">
      <c r="C208" s="4"/>
      <c r="D208" s="4"/>
      <c r="E208" s="4"/>
      <c r="F208" s="4"/>
    </row>
    <row r="209" spans="3:6" ht="12.5" x14ac:dyDescent="0.25">
      <c r="C209" s="4"/>
      <c r="D209" s="4"/>
      <c r="E209" s="4"/>
      <c r="F209" s="4"/>
    </row>
    <row r="210" spans="3:6" ht="12.5" x14ac:dyDescent="0.25">
      <c r="C210" s="4"/>
      <c r="D210" s="4"/>
      <c r="E210" s="4"/>
      <c r="F210" s="4"/>
    </row>
    <row r="211" spans="3:6" ht="12.5" x14ac:dyDescent="0.25">
      <c r="C211" s="4"/>
      <c r="D211" s="4"/>
      <c r="E211" s="4"/>
      <c r="F211" s="4"/>
    </row>
    <row r="212" spans="3:6" ht="12.5" x14ac:dyDescent="0.25">
      <c r="C212" s="4"/>
      <c r="D212" s="4"/>
      <c r="E212" s="4"/>
      <c r="F212" s="4"/>
    </row>
    <row r="213" spans="3:6" ht="12.5" x14ac:dyDescent="0.25">
      <c r="C213" s="4"/>
      <c r="D213" s="4"/>
      <c r="E213" s="4"/>
      <c r="F213" s="4"/>
    </row>
    <row r="214" spans="3:6" ht="12.5" x14ac:dyDescent="0.25">
      <c r="C214" s="4"/>
      <c r="D214" s="4"/>
      <c r="E214" s="4"/>
      <c r="F214" s="4"/>
    </row>
    <row r="215" spans="3:6" ht="12.5" x14ac:dyDescent="0.25">
      <c r="C215" s="4"/>
      <c r="D215" s="4"/>
      <c r="E215" s="4"/>
      <c r="F215" s="4"/>
    </row>
    <row r="216" spans="3:6" ht="12.5" x14ac:dyDescent="0.25">
      <c r="C216" s="4"/>
      <c r="D216" s="4"/>
      <c r="E216" s="4"/>
      <c r="F216" s="4"/>
    </row>
    <row r="217" spans="3:6" ht="12.5" x14ac:dyDescent="0.25">
      <c r="C217" s="4"/>
      <c r="D217" s="4"/>
      <c r="E217" s="4"/>
      <c r="F217" s="4"/>
    </row>
    <row r="218" spans="3:6" ht="12.5" x14ac:dyDescent="0.25">
      <c r="C218" s="4"/>
      <c r="D218" s="4"/>
      <c r="E218" s="4"/>
      <c r="F218" s="4"/>
    </row>
    <row r="219" spans="3:6" ht="12.5" x14ac:dyDescent="0.25">
      <c r="C219" s="4"/>
      <c r="D219" s="4"/>
      <c r="E219" s="4"/>
      <c r="F219" s="4"/>
    </row>
    <row r="220" spans="3:6" ht="12.5" x14ac:dyDescent="0.25">
      <c r="C220" s="4"/>
      <c r="D220" s="4"/>
      <c r="E220" s="4"/>
      <c r="F220" s="4"/>
    </row>
    <row r="221" spans="3:6" ht="12.5" x14ac:dyDescent="0.25">
      <c r="C221" s="4"/>
      <c r="D221" s="4"/>
      <c r="E221" s="4"/>
      <c r="F221" s="4"/>
    </row>
    <row r="222" spans="3:6" ht="12.5" x14ac:dyDescent="0.25">
      <c r="C222" s="4"/>
      <c r="D222" s="4"/>
      <c r="E222" s="4"/>
      <c r="F222" s="4"/>
    </row>
    <row r="223" spans="3:6" ht="12.5" x14ac:dyDescent="0.25">
      <c r="C223" s="4"/>
      <c r="D223" s="4"/>
      <c r="E223" s="4"/>
      <c r="F223" s="4"/>
    </row>
    <row r="224" spans="3:6" ht="12.5" x14ac:dyDescent="0.25">
      <c r="C224" s="4"/>
      <c r="D224" s="4"/>
      <c r="E224" s="4"/>
      <c r="F224" s="4"/>
    </row>
    <row r="225" spans="3:6" ht="12.5" x14ac:dyDescent="0.25">
      <c r="C225" s="4"/>
      <c r="D225" s="4"/>
      <c r="E225" s="4"/>
      <c r="F225" s="4"/>
    </row>
    <row r="226" spans="3:6" ht="12.5" x14ac:dyDescent="0.25">
      <c r="C226" s="4"/>
      <c r="D226" s="4"/>
      <c r="E226" s="4"/>
      <c r="F226" s="4"/>
    </row>
    <row r="227" spans="3:6" ht="12.5" x14ac:dyDescent="0.25">
      <c r="C227" s="4"/>
      <c r="D227" s="4"/>
      <c r="E227" s="4"/>
      <c r="F227" s="4"/>
    </row>
    <row r="228" spans="3:6" ht="12.5" x14ac:dyDescent="0.25">
      <c r="C228" s="4"/>
      <c r="D228" s="4"/>
      <c r="E228" s="4"/>
      <c r="F228" s="4"/>
    </row>
    <row r="229" spans="3:6" ht="12.5" x14ac:dyDescent="0.25">
      <c r="C229" s="4"/>
      <c r="D229" s="4"/>
      <c r="E229" s="4"/>
      <c r="F229" s="4"/>
    </row>
    <row r="230" spans="3:6" ht="12.5" x14ac:dyDescent="0.25">
      <c r="C230" s="4"/>
      <c r="D230" s="4"/>
      <c r="E230" s="4"/>
      <c r="F230" s="4"/>
    </row>
    <row r="231" spans="3:6" ht="12.5" x14ac:dyDescent="0.25">
      <c r="C231" s="4"/>
      <c r="D231" s="4"/>
      <c r="E231" s="4"/>
      <c r="F231" s="4"/>
    </row>
    <row r="232" spans="3:6" ht="12.5" x14ac:dyDescent="0.25">
      <c r="C232" s="4"/>
      <c r="D232" s="4"/>
      <c r="E232" s="4"/>
      <c r="F232" s="4"/>
    </row>
    <row r="233" spans="3:6" ht="12.5" x14ac:dyDescent="0.25">
      <c r="C233" s="4"/>
      <c r="D233" s="4"/>
      <c r="E233" s="4"/>
      <c r="F233" s="4"/>
    </row>
    <row r="234" spans="3:6" ht="12.5" x14ac:dyDescent="0.25">
      <c r="C234" s="4"/>
      <c r="D234" s="4"/>
      <c r="E234" s="4"/>
      <c r="F234" s="4"/>
    </row>
    <row r="235" spans="3:6" ht="12.5" x14ac:dyDescent="0.25">
      <c r="C235" s="4"/>
      <c r="D235" s="4"/>
      <c r="E235" s="4"/>
      <c r="F235" s="4"/>
    </row>
    <row r="236" spans="3:6" ht="12.5" x14ac:dyDescent="0.25">
      <c r="C236" s="4"/>
      <c r="D236" s="4"/>
      <c r="E236" s="4"/>
      <c r="F236" s="4"/>
    </row>
    <row r="237" spans="3:6" ht="12.5" x14ac:dyDescent="0.25">
      <c r="C237" s="4"/>
      <c r="D237" s="4"/>
      <c r="E237" s="4"/>
      <c r="F237" s="4"/>
    </row>
    <row r="238" spans="3:6" ht="12.5" x14ac:dyDescent="0.25">
      <c r="C238" s="4"/>
      <c r="D238" s="4"/>
      <c r="E238" s="4"/>
      <c r="F238" s="4"/>
    </row>
    <row r="239" spans="3:6" ht="12.5" x14ac:dyDescent="0.25">
      <c r="C239" s="4"/>
      <c r="D239" s="4"/>
      <c r="E239" s="4"/>
      <c r="F239" s="4"/>
    </row>
    <row r="240" spans="3:6" ht="12.5" x14ac:dyDescent="0.25">
      <c r="C240" s="4"/>
      <c r="D240" s="4"/>
      <c r="E240" s="4"/>
      <c r="F240" s="4"/>
    </row>
    <row r="241" spans="3:6" ht="12.5" x14ac:dyDescent="0.25">
      <c r="C241" s="4"/>
      <c r="D241" s="4"/>
      <c r="E241" s="4"/>
      <c r="F241" s="4"/>
    </row>
    <row r="242" spans="3:6" ht="12.5" x14ac:dyDescent="0.25">
      <c r="C242" s="4"/>
      <c r="D242" s="4"/>
      <c r="E242" s="4"/>
      <c r="F242" s="4"/>
    </row>
    <row r="243" spans="3:6" ht="12.5" x14ac:dyDescent="0.25">
      <c r="C243" s="4"/>
      <c r="D243" s="4"/>
      <c r="E243" s="4"/>
      <c r="F243" s="4"/>
    </row>
    <row r="244" spans="3:6" ht="12.5" x14ac:dyDescent="0.25">
      <c r="C244" s="4"/>
      <c r="D244" s="4"/>
      <c r="E244" s="4"/>
      <c r="F244" s="4"/>
    </row>
    <row r="245" spans="3:6" ht="12.5" x14ac:dyDescent="0.25">
      <c r="C245" s="4"/>
      <c r="D245" s="4"/>
      <c r="E245" s="4"/>
      <c r="F245" s="4"/>
    </row>
    <row r="246" spans="3:6" ht="12.5" x14ac:dyDescent="0.25">
      <c r="C246" s="4"/>
      <c r="D246" s="4"/>
      <c r="E246" s="4"/>
      <c r="F246" s="4"/>
    </row>
    <row r="247" spans="3:6" ht="12.5" x14ac:dyDescent="0.25">
      <c r="C247" s="4"/>
      <c r="D247" s="4"/>
      <c r="E247" s="4"/>
      <c r="F247" s="4"/>
    </row>
    <row r="248" spans="3:6" ht="12.5" x14ac:dyDescent="0.25">
      <c r="C248" s="4"/>
      <c r="D248" s="4"/>
      <c r="E248" s="4"/>
      <c r="F248" s="4"/>
    </row>
    <row r="249" spans="3:6" ht="12.5" x14ac:dyDescent="0.25">
      <c r="C249" s="4"/>
      <c r="D249" s="4"/>
      <c r="E249" s="4"/>
      <c r="F249" s="4"/>
    </row>
    <row r="250" spans="3:6" ht="12.5" x14ac:dyDescent="0.25">
      <c r="C250" s="4"/>
      <c r="D250" s="4"/>
      <c r="E250" s="4"/>
      <c r="F250" s="4"/>
    </row>
    <row r="251" spans="3:6" ht="12.5" x14ac:dyDescent="0.25">
      <c r="C251" s="4"/>
      <c r="D251" s="4"/>
      <c r="E251" s="4"/>
      <c r="F251" s="4"/>
    </row>
    <row r="252" spans="3:6" ht="12.5" x14ac:dyDescent="0.25">
      <c r="C252" s="4"/>
      <c r="D252" s="4"/>
      <c r="E252" s="4"/>
      <c r="F252" s="4"/>
    </row>
    <row r="253" spans="3:6" ht="12.5" x14ac:dyDescent="0.25">
      <c r="C253" s="4"/>
      <c r="D253" s="4"/>
      <c r="E253" s="4"/>
      <c r="F253" s="4"/>
    </row>
    <row r="254" spans="3:6" ht="12.5" x14ac:dyDescent="0.25">
      <c r="C254" s="4"/>
      <c r="D254" s="4"/>
      <c r="E254" s="4"/>
      <c r="F254" s="4"/>
    </row>
    <row r="255" spans="3:6" ht="12.5" x14ac:dyDescent="0.25">
      <c r="C255" s="4"/>
      <c r="D255" s="4"/>
      <c r="E255" s="4"/>
      <c r="F255" s="4"/>
    </row>
    <row r="256" spans="3:6" ht="12.5" x14ac:dyDescent="0.25">
      <c r="C256" s="4"/>
      <c r="D256" s="4"/>
      <c r="E256" s="4"/>
      <c r="F256" s="4"/>
    </row>
    <row r="257" spans="3:6" ht="12.5" x14ac:dyDescent="0.25">
      <c r="C257" s="4"/>
      <c r="D257" s="4"/>
      <c r="E257" s="4"/>
      <c r="F257" s="4"/>
    </row>
    <row r="258" spans="3:6" ht="12.5" x14ac:dyDescent="0.25">
      <c r="C258" s="4"/>
      <c r="D258" s="4"/>
      <c r="E258" s="4"/>
      <c r="F258" s="4"/>
    </row>
    <row r="259" spans="3:6" ht="12.5" x14ac:dyDescent="0.25">
      <c r="C259" s="4"/>
      <c r="D259" s="4"/>
      <c r="E259" s="4"/>
      <c r="F259" s="4"/>
    </row>
    <row r="260" spans="3:6" ht="12.5" x14ac:dyDescent="0.25">
      <c r="C260" s="4"/>
      <c r="D260" s="4"/>
      <c r="E260" s="4"/>
      <c r="F260" s="4"/>
    </row>
    <row r="261" spans="3:6" ht="12.5" x14ac:dyDescent="0.25">
      <c r="C261" s="4"/>
      <c r="D261" s="4"/>
      <c r="E261" s="4"/>
      <c r="F261" s="4"/>
    </row>
    <row r="262" spans="3:6" ht="12.5" x14ac:dyDescent="0.25">
      <c r="C262" s="4"/>
      <c r="D262" s="4"/>
      <c r="E262" s="4"/>
      <c r="F262" s="4"/>
    </row>
    <row r="263" spans="3:6" ht="12.5" x14ac:dyDescent="0.25">
      <c r="C263" s="4"/>
      <c r="D263" s="4"/>
      <c r="E263" s="4"/>
      <c r="F263" s="4"/>
    </row>
    <row r="264" spans="3:6" ht="12.5" x14ac:dyDescent="0.25">
      <c r="C264" s="4"/>
      <c r="D264" s="4"/>
      <c r="E264" s="4"/>
      <c r="F264" s="4"/>
    </row>
    <row r="265" spans="3:6" ht="12.5" x14ac:dyDescent="0.25">
      <c r="C265" s="4"/>
      <c r="D265" s="4"/>
      <c r="E265" s="4"/>
      <c r="F265" s="4"/>
    </row>
    <row r="266" spans="3:6" ht="12.5" x14ac:dyDescent="0.25">
      <c r="C266" s="4"/>
      <c r="D266" s="4"/>
      <c r="E266" s="4"/>
      <c r="F266" s="4"/>
    </row>
    <row r="267" spans="3:6" ht="12.5" x14ac:dyDescent="0.25">
      <c r="C267" s="4"/>
      <c r="D267" s="4"/>
      <c r="E267" s="4"/>
      <c r="F267" s="4"/>
    </row>
    <row r="268" spans="3:6" ht="12.5" x14ac:dyDescent="0.25">
      <c r="C268" s="4"/>
      <c r="D268" s="4"/>
      <c r="E268" s="4"/>
      <c r="F268" s="4"/>
    </row>
    <row r="269" spans="3:6" ht="12.5" x14ac:dyDescent="0.25">
      <c r="C269" s="4"/>
      <c r="D269" s="4"/>
      <c r="E269" s="4"/>
      <c r="F269" s="4"/>
    </row>
    <row r="270" spans="3:6" ht="12.5" x14ac:dyDescent="0.25">
      <c r="C270" s="4"/>
      <c r="D270" s="4"/>
      <c r="E270" s="4"/>
      <c r="F270" s="4"/>
    </row>
    <row r="271" spans="3:6" ht="12.5" x14ac:dyDescent="0.25">
      <c r="C271" s="4"/>
      <c r="D271" s="4"/>
      <c r="E271" s="4"/>
      <c r="F271" s="4"/>
    </row>
    <row r="272" spans="3:6" ht="12.5" x14ac:dyDescent="0.25">
      <c r="C272" s="4"/>
      <c r="D272" s="4"/>
      <c r="E272" s="4"/>
      <c r="F272" s="4"/>
    </row>
    <row r="273" spans="3:6" ht="12.5" x14ac:dyDescent="0.25">
      <c r="C273" s="4"/>
      <c r="D273" s="4"/>
      <c r="E273" s="4"/>
      <c r="F273" s="4"/>
    </row>
    <row r="274" spans="3:6" ht="12.5" x14ac:dyDescent="0.25">
      <c r="C274" s="4"/>
      <c r="D274" s="4"/>
      <c r="E274" s="4"/>
      <c r="F274" s="4"/>
    </row>
    <row r="275" spans="3:6" ht="12.5" x14ac:dyDescent="0.25">
      <c r="C275" s="4"/>
      <c r="D275" s="4"/>
      <c r="E275" s="4"/>
      <c r="F275" s="4"/>
    </row>
    <row r="276" spans="3:6" ht="12.5" x14ac:dyDescent="0.25">
      <c r="C276" s="4"/>
      <c r="D276" s="4"/>
      <c r="E276" s="4"/>
      <c r="F276" s="4"/>
    </row>
    <row r="277" spans="3:6" ht="12.5" x14ac:dyDescent="0.25">
      <c r="C277" s="4"/>
      <c r="D277" s="4"/>
      <c r="E277" s="4"/>
      <c r="F277" s="4"/>
    </row>
    <row r="278" spans="3:6" ht="12.5" x14ac:dyDescent="0.25">
      <c r="C278" s="4"/>
      <c r="D278" s="4"/>
      <c r="E278" s="4"/>
      <c r="F278" s="4"/>
    </row>
    <row r="279" spans="3:6" ht="12.5" x14ac:dyDescent="0.25">
      <c r="C279" s="4"/>
      <c r="D279" s="4"/>
      <c r="E279" s="4"/>
      <c r="F279" s="4"/>
    </row>
    <row r="280" spans="3:6" ht="12.5" x14ac:dyDescent="0.25">
      <c r="C280" s="4"/>
      <c r="D280" s="4"/>
      <c r="E280" s="4"/>
      <c r="F280" s="4"/>
    </row>
    <row r="281" spans="3:6" ht="12.5" x14ac:dyDescent="0.25">
      <c r="C281" s="4"/>
      <c r="D281" s="4"/>
      <c r="E281" s="4"/>
      <c r="F281" s="4"/>
    </row>
    <row r="282" spans="3:6" ht="12.5" x14ac:dyDescent="0.25">
      <c r="C282" s="4"/>
      <c r="D282" s="4"/>
      <c r="E282" s="4"/>
      <c r="F282" s="4"/>
    </row>
    <row r="283" spans="3:6" ht="12.5" x14ac:dyDescent="0.25">
      <c r="C283" s="4"/>
      <c r="D283" s="4"/>
      <c r="E283" s="4"/>
      <c r="F283" s="4"/>
    </row>
    <row r="284" spans="3:6" ht="12.5" x14ac:dyDescent="0.25">
      <c r="C284" s="4"/>
      <c r="D284" s="4"/>
      <c r="E284" s="4"/>
      <c r="F284" s="4"/>
    </row>
    <row r="285" spans="3:6" ht="12.5" x14ac:dyDescent="0.25">
      <c r="C285" s="4"/>
      <c r="D285" s="4"/>
      <c r="E285" s="4"/>
      <c r="F285" s="4"/>
    </row>
    <row r="286" spans="3:6" ht="12.5" x14ac:dyDescent="0.25">
      <c r="C286" s="4"/>
      <c r="D286" s="4"/>
      <c r="E286" s="4"/>
      <c r="F286" s="4"/>
    </row>
    <row r="287" spans="3:6" ht="12.5" x14ac:dyDescent="0.25">
      <c r="C287" s="4"/>
      <c r="D287" s="4"/>
      <c r="E287" s="4"/>
      <c r="F287" s="4"/>
    </row>
    <row r="288" spans="3:6" ht="12.5" x14ac:dyDescent="0.25">
      <c r="C288" s="4"/>
      <c r="D288" s="4"/>
      <c r="E288" s="4"/>
      <c r="F288" s="4"/>
    </row>
    <row r="289" spans="3:6" ht="12.5" x14ac:dyDescent="0.25">
      <c r="C289" s="4"/>
      <c r="D289" s="4"/>
      <c r="E289" s="4"/>
      <c r="F289" s="4"/>
    </row>
    <row r="290" spans="3:6" ht="12.5" x14ac:dyDescent="0.25">
      <c r="C290" s="4"/>
      <c r="D290" s="4"/>
      <c r="E290" s="4"/>
      <c r="F290" s="4"/>
    </row>
    <row r="291" spans="3:6" ht="12.5" x14ac:dyDescent="0.25">
      <c r="C291" s="4"/>
      <c r="D291" s="4"/>
      <c r="E291" s="4"/>
      <c r="F291" s="4"/>
    </row>
    <row r="292" spans="3:6" ht="12.5" x14ac:dyDescent="0.25">
      <c r="C292" s="4"/>
      <c r="D292" s="4"/>
      <c r="E292" s="4"/>
      <c r="F292" s="4"/>
    </row>
    <row r="293" spans="3:6" ht="12.5" x14ac:dyDescent="0.25">
      <c r="C293" s="4"/>
      <c r="D293" s="4"/>
      <c r="E293" s="4"/>
      <c r="F293" s="4"/>
    </row>
    <row r="294" spans="3:6" ht="12.5" x14ac:dyDescent="0.25">
      <c r="C294" s="4"/>
      <c r="D294" s="4"/>
      <c r="E294" s="4"/>
      <c r="F294" s="4"/>
    </row>
    <row r="295" spans="3:6" ht="12.5" x14ac:dyDescent="0.25">
      <c r="C295" s="4"/>
      <c r="D295" s="4"/>
      <c r="E295" s="4"/>
      <c r="F295" s="4"/>
    </row>
    <row r="296" spans="3:6" ht="12.5" x14ac:dyDescent="0.25">
      <c r="C296" s="4"/>
      <c r="D296" s="4"/>
      <c r="E296" s="4"/>
      <c r="F296" s="4"/>
    </row>
    <row r="297" spans="3:6" ht="12.5" x14ac:dyDescent="0.25">
      <c r="C297" s="4"/>
      <c r="D297" s="4"/>
      <c r="E297" s="4"/>
      <c r="F297" s="4"/>
    </row>
    <row r="298" spans="3:6" ht="12.5" x14ac:dyDescent="0.25">
      <c r="C298" s="4"/>
      <c r="D298" s="4"/>
      <c r="E298" s="4"/>
      <c r="F298" s="4"/>
    </row>
    <row r="299" spans="3:6" ht="12.5" x14ac:dyDescent="0.25">
      <c r="C299" s="4"/>
      <c r="D299" s="4"/>
      <c r="E299" s="4"/>
      <c r="F299" s="4"/>
    </row>
    <row r="300" spans="3:6" ht="12.5" x14ac:dyDescent="0.25">
      <c r="C300" s="4"/>
      <c r="D300" s="4"/>
      <c r="E300" s="4"/>
      <c r="F300" s="4"/>
    </row>
    <row r="301" spans="3:6" ht="12.5" x14ac:dyDescent="0.25">
      <c r="C301" s="4"/>
      <c r="D301" s="4"/>
      <c r="E301" s="4"/>
      <c r="F301" s="4"/>
    </row>
    <row r="302" spans="3:6" ht="12.5" x14ac:dyDescent="0.25">
      <c r="C302" s="4"/>
      <c r="D302" s="4"/>
      <c r="E302" s="4"/>
      <c r="F302" s="4"/>
    </row>
    <row r="303" spans="3:6" ht="12.5" x14ac:dyDescent="0.25">
      <c r="C303" s="4"/>
      <c r="D303" s="4"/>
      <c r="E303" s="4"/>
      <c r="F303" s="4"/>
    </row>
    <row r="304" spans="3:6" ht="12.5" x14ac:dyDescent="0.25">
      <c r="C304" s="4"/>
      <c r="D304" s="4"/>
      <c r="E304" s="4"/>
      <c r="F304" s="4"/>
    </row>
    <row r="305" spans="3:6" ht="12.5" x14ac:dyDescent="0.25">
      <c r="C305" s="4"/>
      <c r="D305" s="4"/>
      <c r="E305" s="4"/>
      <c r="F305" s="4"/>
    </row>
    <row r="306" spans="3:6" ht="12.5" x14ac:dyDescent="0.25">
      <c r="C306" s="4"/>
      <c r="D306" s="4"/>
      <c r="E306" s="4"/>
      <c r="F306" s="4"/>
    </row>
    <row r="307" spans="3:6" ht="12.5" x14ac:dyDescent="0.25">
      <c r="C307" s="4"/>
      <c r="D307" s="4"/>
      <c r="E307" s="4"/>
      <c r="F307" s="4"/>
    </row>
    <row r="308" spans="3:6" ht="12.5" x14ac:dyDescent="0.25">
      <c r="C308" s="4"/>
      <c r="D308" s="4"/>
      <c r="E308" s="4"/>
      <c r="F308" s="4"/>
    </row>
    <row r="309" spans="3:6" ht="12.5" x14ac:dyDescent="0.25">
      <c r="C309" s="4"/>
      <c r="D309" s="4"/>
      <c r="E309" s="4"/>
      <c r="F309" s="4"/>
    </row>
    <row r="310" spans="3:6" ht="12.5" x14ac:dyDescent="0.25">
      <c r="C310" s="4"/>
      <c r="D310" s="4"/>
      <c r="E310" s="4"/>
      <c r="F310" s="4"/>
    </row>
    <row r="311" spans="3:6" ht="12.5" x14ac:dyDescent="0.25">
      <c r="C311" s="4"/>
      <c r="D311" s="4"/>
      <c r="E311" s="4"/>
      <c r="F311" s="4"/>
    </row>
    <row r="312" spans="3:6" ht="12.5" x14ac:dyDescent="0.25">
      <c r="C312" s="4"/>
      <c r="D312" s="4"/>
      <c r="E312" s="4"/>
      <c r="F312" s="4"/>
    </row>
    <row r="313" spans="3:6" ht="12.5" x14ac:dyDescent="0.25">
      <c r="C313" s="4"/>
      <c r="D313" s="4"/>
      <c r="E313" s="4"/>
      <c r="F313" s="4"/>
    </row>
    <row r="314" spans="3:6" ht="12.5" x14ac:dyDescent="0.25">
      <c r="C314" s="4"/>
      <c r="D314" s="4"/>
      <c r="E314" s="4"/>
      <c r="F314" s="4"/>
    </row>
    <row r="315" spans="3:6" ht="12.5" x14ac:dyDescent="0.25">
      <c r="C315" s="4"/>
      <c r="D315" s="4"/>
      <c r="E315" s="4"/>
      <c r="F315" s="4"/>
    </row>
    <row r="316" spans="3:6" ht="12.5" x14ac:dyDescent="0.25">
      <c r="C316" s="4"/>
      <c r="D316" s="4"/>
      <c r="E316" s="4"/>
      <c r="F316" s="4"/>
    </row>
    <row r="317" spans="3:6" ht="12.5" x14ac:dyDescent="0.25">
      <c r="C317" s="4"/>
      <c r="D317" s="4"/>
      <c r="E317" s="4"/>
      <c r="F317" s="4"/>
    </row>
    <row r="318" spans="3:6" ht="12.5" x14ac:dyDescent="0.25">
      <c r="C318" s="4"/>
      <c r="D318" s="4"/>
      <c r="E318" s="4"/>
      <c r="F318" s="4"/>
    </row>
    <row r="319" spans="3:6" ht="12.5" x14ac:dyDescent="0.25">
      <c r="C319" s="4"/>
      <c r="D319" s="4"/>
      <c r="E319" s="4"/>
      <c r="F319" s="4"/>
    </row>
    <row r="320" spans="3:6" ht="12.5" x14ac:dyDescent="0.25">
      <c r="C320" s="4"/>
      <c r="D320" s="4"/>
      <c r="E320" s="4"/>
      <c r="F320" s="4"/>
    </row>
    <row r="321" spans="3:6" ht="12.5" x14ac:dyDescent="0.25">
      <c r="C321" s="4"/>
      <c r="D321" s="4"/>
      <c r="E321" s="4"/>
      <c r="F321" s="4"/>
    </row>
    <row r="322" spans="3:6" ht="12.5" x14ac:dyDescent="0.25">
      <c r="C322" s="4"/>
      <c r="D322" s="4"/>
      <c r="E322" s="4"/>
      <c r="F322" s="4"/>
    </row>
    <row r="323" spans="3:6" ht="12.5" x14ac:dyDescent="0.25">
      <c r="C323" s="4"/>
      <c r="D323" s="4"/>
      <c r="E323" s="4"/>
      <c r="F323" s="4"/>
    </row>
    <row r="324" spans="3:6" ht="12.5" x14ac:dyDescent="0.25">
      <c r="C324" s="4"/>
      <c r="D324" s="4"/>
      <c r="E324" s="4"/>
      <c r="F324" s="4"/>
    </row>
    <row r="325" spans="3:6" ht="12.5" x14ac:dyDescent="0.25">
      <c r="C325" s="4"/>
      <c r="D325" s="4"/>
      <c r="E325" s="4"/>
      <c r="F325" s="4"/>
    </row>
    <row r="326" spans="3:6" ht="12.5" x14ac:dyDescent="0.25">
      <c r="C326" s="4"/>
      <c r="D326" s="4"/>
      <c r="E326" s="4"/>
      <c r="F326" s="4"/>
    </row>
    <row r="327" spans="3:6" ht="12.5" x14ac:dyDescent="0.25">
      <c r="C327" s="4"/>
      <c r="D327" s="4"/>
      <c r="E327" s="4"/>
      <c r="F327" s="4"/>
    </row>
    <row r="328" spans="3:6" ht="12.5" x14ac:dyDescent="0.25">
      <c r="C328" s="4"/>
      <c r="D328" s="4"/>
      <c r="E328" s="4"/>
      <c r="F328" s="4"/>
    </row>
    <row r="329" spans="3:6" ht="12.5" x14ac:dyDescent="0.25">
      <c r="C329" s="4"/>
      <c r="D329" s="4"/>
      <c r="E329" s="4"/>
      <c r="F329" s="4"/>
    </row>
    <row r="330" spans="3:6" ht="12.5" x14ac:dyDescent="0.25">
      <c r="C330" s="4"/>
      <c r="D330" s="4"/>
      <c r="E330" s="4"/>
      <c r="F330" s="4"/>
    </row>
    <row r="331" spans="3:6" ht="12.5" x14ac:dyDescent="0.25">
      <c r="C331" s="4"/>
      <c r="D331" s="4"/>
      <c r="E331" s="4"/>
      <c r="F331" s="4"/>
    </row>
    <row r="332" spans="3:6" ht="12.5" x14ac:dyDescent="0.25">
      <c r="C332" s="4"/>
      <c r="D332" s="4"/>
      <c r="E332" s="4"/>
      <c r="F332" s="4"/>
    </row>
    <row r="333" spans="3:6" ht="12.5" x14ac:dyDescent="0.25">
      <c r="C333" s="4"/>
      <c r="D333" s="4"/>
      <c r="E333" s="4"/>
      <c r="F333" s="4"/>
    </row>
    <row r="334" spans="3:6" ht="12.5" x14ac:dyDescent="0.25">
      <c r="C334" s="4"/>
      <c r="D334" s="4"/>
      <c r="E334" s="4"/>
      <c r="F334" s="4"/>
    </row>
    <row r="335" spans="3:6" ht="12.5" x14ac:dyDescent="0.25">
      <c r="C335" s="4"/>
      <c r="D335" s="4"/>
      <c r="E335" s="4"/>
      <c r="F335" s="4"/>
    </row>
    <row r="336" spans="3:6" ht="12.5" x14ac:dyDescent="0.25">
      <c r="C336" s="4"/>
      <c r="D336" s="4"/>
      <c r="E336" s="4"/>
      <c r="F336" s="4"/>
    </row>
    <row r="337" spans="3:6" ht="12.5" x14ac:dyDescent="0.25">
      <c r="C337" s="4"/>
      <c r="D337" s="4"/>
      <c r="E337" s="4"/>
      <c r="F337" s="4"/>
    </row>
    <row r="338" spans="3:6" ht="12.5" x14ac:dyDescent="0.25">
      <c r="C338" s="4"/>
      <c r="D338" s="4"/>
      <c r="E338" s="4"/>
      <c r="F338" s="4"/>
    </row>
    <row r="339" spans="3:6" ht="12.5" x14ac:dyDescent="0.25">
      <c r="C339" s="4"/>
      <c r="D339" s="4"/>
      <c r="E339" s="4"/>
      <c r="F339" s="4"/>
    </row>
    <row r="340" spans="3:6" ht="12.5" x14ac:dyDescent="0.25">
      <c r="C340" s="4"/>
      <c r="D340" s="4"/>
      <c r="E340" s="4"/>
      <c r="F340" s="4"/>
    </row>
    <row r="341" spans="3:6" ht="12.5" x14ac:dyDescent="0.25">
      <c r="C341" s="4"/>
      <c r="D341" s="4"/>
      <c r="E341" s="4"/>
      <c r="F341" s="4"/>
    </row>
    <row r="342" spans="3:6" ht="12.5" x14ac:dyDescent="0.25">
      <c r="C342" s="4"/>
      <c r="D342" s="4"/>
      <c r="E342" s="4"/>
      <c r="F342" s="4"/>
    </row>
    <row r="343" spans="3:6" ht="12.5" x14ac:dyDescent="0.25">
      <c r="C343" s="4"/>
      <c r="D343" s="4"/>
      <c r="E343" s="4"/>
      <c r="F343" s="4"/>
    </row>
    <row r="344" spans="3:6" ht="12.5" x14ac:dyDescent="0.25">
      <c r="C344" s="4"/>
      <c r="D344" s="4"/>
      <c r="E344" s="4"/>
      <c r="F344" s="4"/>
    </row>
    <row r="345" spans="3:6" ht="12.5" x14ac:dyDescent="0.25">
      <c r="C345" s="4"/>
      <c r="D345" s="4"/>
      <c r="E345" s="4"/>
      <c r="F345" s="4"/>
    </row>
    <row r="346" spans="3:6" ht="12.5" x14ac:dyDescent="0.25">
      <c r="C346" s="4"/>
      <c r="D346" s="4"/>
      <c r="E346" s="4"/>
      <c r="F346" s="4"/>
    </row>
    <row r="347" spans="3:6" ht="12.5" x14ac:dyDescent="0.25">
      <c r="C347" s="4"/>
      <c r="D347" s="4"/>
      <c r="E347" s="4"/>
      <c r="F347" s="4"/>
    </row>
    <row r="348" spans="3:6" ht="12.5" x14ac:dyDescent="0.25">
      <c r="C348" s="4"/>
      <c r="D348" s="4"/>
      <c r="E348" s="4"/>
      <c r="F348" s="4"/>
    </row>
    <row r="349" spans="3:6" ht="12.5" x14ac:dyDescent="0.25">
      <c r="C349" s="4"/>
      <c r="D349" s="4"/>
      <c r="E349" s="4"/>
      <c r="F349" s="4"/>
    </row>
    <row r="350" spans="3:6" ht="12.5" x14ac:dyDescent="0.25">
      <c r="C350" s="4"/>
      <c r="D350" s="4"/>
      <c r="E350" s="4"/>
      <c r="F350" s="4"/>
    </row>
    <row r="351" spans="3:6" ht="12.5" x14ac:dyDescent="0.25">
      <c r="C351" s="4"/>
      <c r="D351" s="4"/>
      <c r="E351" s="4"/>
      <c r="F351" s="4"/>
    </row>
    <row r="352" spans="3:6" ht="12.5" x14ac:dyDescent="0.25">
      <c r="C352" s="4"/>
      <c r="D352" s="4"/>
      <c r="E352" s="4"/>
      <c r="F352" s="4"/>
    </row>
    <row r="353" spans="3:6" ht="12.5" x14ac:dyDescent="0.25">
      <c r="C353" s="4"/>
      <c r="D353" s="4"/>
      <c r="E353" s="4"/>
      <c r="F353" s="4"/>
    </row>
    <row r="354" spans="3:6" ht="12.5" x14ac:dyDescent="0.25">
      <c r="C354" s="4"/>
      <c r="D354" s="4"/>
      <c r="E354" s="4"/>
      <c r="F354" s="4"/>
    </row>
    <row r="355" spans="3:6" ht="12.5" x14ac:dyDescent="0.25">
      <c r="C355" s="4"/>
      <c r="D355" s="4"/>
      <c r="E355" s="4"/>
      <c r="F355" s="4"/>
    </row>
    <row r="356" spans="3:6" ht="12.5" x14ac:dyDescent="0.25">
      <c r="C356" s="4"/>
      <c r="D356" s="4"/>
      <c r="E356" s="4"/>
      <c r="F356" s="4"/>
    </row>
    <row r="357" spans="3:6" ht="12.5" x14ac:dyDescent="0.25">
      <c r="C357" s="4"/>
      <c r="D357" s="4"/>
      <c r="E357" s="4"/>
      <c r="F357" s="4"/>
    </row>
    <row r="358" spans="3:6" ht="12.5" x14ac:dyDescent="0.25">
      <c r="C358" s="4"/>
      <c r="D358" s="4"/>
      <c r="E358" s="4"/>
      <c r="F358" s="4"/>
    </row>
    <row r="359" spans="3:6" ht="12.5" x14ac:dyDescent="0.25">
      <c r="C359" s="4"/>
      <c r="D359" s="4"/>
      <c r="E359" s="4"/>
      <c r="F359" s="4"/>
    </row>
    <row r="360" spans="3:6" ht="12.5" x14ac:dyDescent="0.25">
      <c r="C360" s="4"/>
      <c r="D360" s="4"/>
      <c r="E360" s="4"/>
      <c r="F360" s="4"/>
    </row>
    <row r="361" spans="3:6" ht="12.5" x14ac:dyDescent="0.25">
      <c r="C361" s="4"/>
      <c r="D361" s="4"/>
      <c r="E361" s="4"/>
      <c r="F361" s="4"/>
    </row>
    <row r="362" spans="3:6" ht="12.5" x14ac:dyDescent="0.25">
      <c r="C362" s="4"/>
      <c r="D362" s="4"/>
      <c r="E362" s="4"/>
      <c r="F362" s="4"/>
    </row>
    <row r="363" spans="3:6" ht="12.5" x14ac:dyDescent="0.25">
      <c r="C363" s="4"/>
      <c r="D363" s="4"/>
      <c r="E363" s="4"/>
      <c r="F363" s="4"/>
    </row>
    <row r="364" spans="3:6" ht="12.5" x14ac:dyDescent="0.25">
      <c r="C364" s="4"/>
      <c r="D364" s="4"/>
      <c r="E364" s="4"/>
      <c r="F364" s="4"/>
    </row>
    <row r="365" spans="3:6" ht="12.5" x14ac:dyDescent="0.25">
      <c r="C365" s="4"/>
      <c r="D365" s="4"/>
      <c r="E365" s="4"/>
      <c r="F365" s="4"/>
    </row>
    <row r="366" spans="3:6" ht="12.5" x14ac:dyDescent="0.25">
      <c r="C366" s="4"/>
      <c r="D366" s="4"/>
      <c r="E366" s="4"/>
      <c r="F366" s="4"/>
    </row>
    <row r="367" spans="3:6" ht="12.5" x14ac:dyDescent="0.25">
      <c r="C367" s="4"/>
      <c r="D367" s="4"/>
      <c r="E367" s="4"/>
      <c r="F367" s="4"/>
    </row>
    <row r="368" spans="3:6" ht="12.5" x14ac:dyDescent="0.25">
      <c r="C368" s="4"/>
      <c r="D368" s="4"/>
      <c r="E368" s="4"/>
      <c r="F368" s="4"/>
    </row>
    <row r="369" spans="3:6" ht="12.5" x14ac:dyDescent="0.25">
      <c r="C369" s="4"/>
      <c r="D369" s="4"/>
      <c r="E369" s="4"/>
      <c r="F369" s="4"/>
    </row>
    <row r="370" spans="3:6" ht="12.5" x14ac:dyDescent="0.25">
      <c r="C370" s="4"/>
      <c r="D370" s="4"/>
      <c r="E370" s="4"/>
      <c r="F370" s="4"/>
    </row>
    <row r="371" spans="3:6" ht="12.5" x14ac:dyDescent="0.25">
      <c r="C371" s="4"/>
      <c r="D371" s="4"/>
      <c r="E371" s="4"/>
      <c r="F371" s="4"/>
    </row>
    <row r="372" spans="3:6" ht="12.5" x14ac:dyDescent="0.25">
      <c r="C372" s="4"/>
      <c r="D372" s="4"/>
      <c r="E372" s="4"/>
      <c r="F372" s="4"/>
    </row>
    <row r="373" spans="3:6" ht="12.5" x14ac:dyDescent="0.25">
      <c r="C373" s="4"/>
      <c r="D373" s="4"/>
      <c r="E373" s="4"/>
      <c r="F373" s="4"/>
    </row>
    <row r="374" spans="3:6" ht="12.5" x14ac:dyDescent="0.25">
      <c r="C374" s="4"/>
      <c r="D374" s="4"/>
      <c r="E374" s="4"/>
      <c r="F374" s="4"/>
    </row>
    <row r="375" spans="3:6" ht="12.5" x14ac:dyDescent="0.25">
      <c r="C375" s="4"/>
      <c r="D375" s="4"/>
      <c r="E375" s="4"/>
      <c r="F375" s="4"/>
    </row>
    <row r="376" spans="3:6" ht="12.5" x14ac:dyDescent="0.25">
      <c r="C376" s="4"/>
      <c r="D376" s="4"/>
      <c r="E376" s="4"/>
      <c r="F376" s="4"/>
    </row>
    <row r="377" spans="3:6" ht="12.5" x14ac:dyDescent="0.25">
      <c r="C377" s="4"/>
      <c r="D377" s="4"/>
      <c r="E377" s="4"/>
      <c r="F377" s="4"/>
    </row>
    <row r="378" spans="3:6" ht="12.5" x14ac:dyDescent="0.25">
      <c r="C378" s="4"/>
      <c r="D378" s="4"/>
      <c r="E378" s="4"/>
      <c r="F378" s="4"/>
    </row>
    <row r="379" spans="3:6" ht="12.5" x14ac:dyDescent="0.25">
      <c r="C379" s="4"/>
      <c r="D379" s="4"/>
      <c r="E379" s="4"/>
      <c r="F379" s="4"/>
    </row>
    <row r="380" spans="3:6" ht="12.5" x14ac:dyDescent="0.25">
      <c r="C380" s="4"/>
      <c r="D380" s="4"/>
      <c r="E380" s="4"/>
      <c r="F380" s="4"/>
    </row>
    <row r="381" spans="3:6" ht="12.5" x14ac:dyDescent="0.25">
      <c r="C381" s="4"/>
      <c r="D381" s="4"/>
      <c r="E381" s="4"/>
      <c r="F381" s="4"/>
    </row>
    <row r="382" spans="3:6" ht="12.5" x14ac:dyDescent="0.25">
      <c r="C382" s="4"/>
      <c r="D382" s="4"/>
      <c r="E382" s="4"/>
      <c r="F382" s="4"/>
    </row>
    <row r="383" spans="3:6" ht="12.5" x14ac:dyDescent="0.25">
      <c r="C383" s="4"/>
      <c r="D383" s="4"/>
      <c r="E383" s="4"/>
      <c r="F383" s="4"/>
    </row>
    <row r="384" spans="3:6" ht="12.5" x14ac:dyDescent="0.25">
      <c r="C384" s="4"/>
      <c r="D384" s="4"/>
      <c r="E384" s="4"/>
      <c r="F384" s="4"/>
    </row>
    <row r="385" spans="3:6" ht="12.5" x14ac:dyDescent="0.25">
      <c r="C385" s="4"/>
      <c r="D385" s="4"/>
      <c r="E385" s="4"/>
      <c r="F385" s="4"/>
    </row>
    <row r="386" spans="3:6" ht="12.5" x14ac:dyDescent="0.25">
      <c r="C386" s="4"/>
      <c r="D386" s="4"/>
      <c r="E386" s="4"/>
      <c r="F386" s="4"/>
    </row>
    <row r="387" spans="3:6" ht="12.5" x14ac:dyDescent="0.25">
      <c r="C387" s="4"/>
      <c r="D387" s="4"/>
      <c r="E387" s="4"/>
      <c r="F387" s="4"/>
    </row>
    <row r="388" spans="3:6" ht="12.5" x14ac:dyDescent="0.25">
      <c r="C388" s="4"/>
      <c r="D388" s="4"/>
      <c r="E388" s="4"/>
      <c r="F388" s="4"/>
    </row>
    <row r="389" spans="3:6" ht="12.5" x14ac:dyDescent="0.25">
      <c r="C389" s="4"/>
      <c r="D389" s="4"/>
      <c r="E389" s="4"/>
      <c r="F389" s="4"/>
    </row>
    <row r="390" spans="3:6" ht="12.5" x14ac:dyDescent="0.25">
      <c r="C390" s="4"/>
      <c r="D390" s="4"/>
      <c r="E390" s="4"/>
      <c r="F390" s="4"/>
    </row>
    <row r="391" spans="3:6" ht="12.5" x14ac:dyDescent="0.25">
      <c r="C391" s="4"/>
      <c r="D391" s="4"/>
      <c r="E391" s="4"/>
      <c r="F391" s="4"/>
    </row>
    <row r="392" spans="3:6" ht="12.5" x14ac:dyDescent="0.25">
      <c r="C392" s="4"/>
      <c r="D392" s="4"/>
      <c r="E392" s="4"/>
      <c r="F392" s="4"/>
    </row>
    <row r="393" spans="3:6" ht="12.5" x14ac:dyDescent="0.25">
      <c r="C393" s="4"/>
      <c r="D393" s="4"/>
      <c r="E393" s="4"/>
      <c r="F393" s="4"/>
    </row>
    <row r="394" spans="3:6" ht="12.5" x14ac:dyDescent="0.25">
      <c r="C394" s="4"/>
      <c r="D394" s="4"/>
      <c r="E394" s="4"/>
      <c r="F394" s="4"/>
    </row>
    <row r="395" spans="3:6" ht="12.5" x14ac:dyDescent="0.25">
      <c r="C395" s="4"/>
      <c r="D395" s="4"/>
      <c r="E395" s="4"/>
      <c r="F395" s="4"/>
    </row>
    <row r="396" spans="3:6" ht="12.5" x14ac:dyDescent="0.25">
      <c r="C396" s="4"/>
      <c r="D396" s="4"/>
      <c r="E396" s="4"/>
      <c r="F396" s="4"/>
    </row>
    <row r="397" spans="3:6" ht="12.5" x14ac:dyDescent="0.25">
      <c r="C397" s="4"/>
      <c r="D397" s="4"/>
      <c r="E397" s="4"/>
      <c r="F397" s="4"/>
    </row>
    <row r="398" spans="3:6" ht="12.5" x14ac:dyDescent="0.25">
      <c r="C398" s="4"/>
      <c r="D398" s="4"/>
      <c r="E398" s="4"/>
      <c r="F398" s="4"/>
    </row>
    <row r="399" spans="3:6" ht="12.5" x14ac:dyDescent="0.25">
      <c r="C399" s="4"/>
      <c r="D399" s="4"/>
      <c r="E399" s="4"/>
      <c r="F399" s="4"/>
    </row>
    <row r="400" spans="3:6" ht="12.5" x14ac:dyDescent="0.25">
      <c r="C400" s="4"/>
      <c r="D400" s="4"/>
      <c r="E400" s="4"/>
      <c r="F400" s="4"/>
    </row>
    <row r="401" spans="3:6" ht="12.5" x14ac:dyDescent="0.25">
      <c r="C401" s="4"/>
      <c r="D401" s="4"/>
      <c r="E401" s="4"/>
      <c r="F401" s="4"/>
    </row>
    <row r="402" spans="3:6" ht="12.5" x14ac:dyDescent="0.25">
      <c r="C402" s="4"/>
      <c r="D402" s="4"/>
      <c r="E402" s="4"/>
      <c r="F402" s="4"/>
    </row>
    <row r="403" spans="3:6" ht="12.5" x14ac:dyDescent="0.25">
      <c r="C403" s="4"/>
      <c r="D403" s="4"/>
      <c r="E403" s="4"/>
      <c r="F403" s="4"/>
    </row>
    <row r="404" spans="3:6" ht="12.5" x14ac:dyDescent="0.25">
      <c r="C404" s="4"/>
      <c r="D404" s="4"/>
      <c r="E404" s="4"/>
      <c r="F404" s="4"/>
    </row>
    <row r="405" spans="3:6" ht="12.5" x14ac:dyDescent="0.25">
      <c r="C405" s="4"/>
      <c r="D405" s="4"/>
      <c r="E405" s="4"/>
      <c r="F405" s="4"/>
    </row>
    <row r="406" spans="3:6" ht="12.5" x14ac:dyDescent="0.25">
      <c r="C406" s="4"/>
      <c r="D406" s="4"/>
      <c r="E406" s="4"/>
      <c r="F406" s="4"/>
    </row>
    <row r="407" spans="3:6" ht="12.5" x14ac:dyDescent="0.25">
      <c r="C407" s="4"/>
      <c r="D407" s="4"/>
      <c r="E407" s="4"/>
      <c r="F407" s="4"/>
    </row>
    <row r="408" spans="3:6" ht="12.5" x14ac:dyDescent="0.25">
      <c r="C408" s="4"/>
      <c r="D408" s="4"/>
      <c r="E408" s="4"/>
      <c r="F408" s="4"/>
    </row>
    <row r="409" spans="3:6" ht="12.5" x14ac:dyDescent="0.25">
      <c r="C409" s="4"/>
      <c r="D409" s="4"/>
      <c r="E409" s="4"/>
      <c r="F409" s="4"/>
    </row>
    <row r="410" spans="3:6" ht="12.5" x14ac:dyDescent="0.25">
      <c r="C410" s="4"/>
      <c r="D410" s="4"/>
      <c r="E410" s="4"/>
      <c r="F410" s="4"/>
    </row>
    <row r="411" spans="3:6" ht="12.5" x14ac:dyDescent="0.25">
      <c r="C411" s="4"/>
      <c r="D411" s="4"/>
      <c r="E411" s="4"/>
      <c r="F411" s="4"/>
    </row>
    <row r="412" spans="3:6" ht="12.5" x14ac:dyDescent="0.25">
      <c r="C412" s="4"/>
      <c r="D412" s="4"/>
      <c r="E412" s="4"/>
      <c r="F412" s="4"/>
    </row>
    <row r="413" spans="3:6" ht="12.5" x14ac:dyDescent="0.25">
      <c r="C413" s="4"/>
      <c r="D413" s="4"/>
      <c r="E413" s="4"/>
      <c r="F413" s="4"/>
    </row>
    <row r="414" spans="3:6" ht="12.5" x14ac:dyDescent="0.25">
      <c r="C414" s="4"/>
      <c r="D414" s="4"/>
      <c r="E414" s="4"/>
      <c r="F414" s="4"/>
    </row>
    <row r="415" spans="3:6" ht="12.5" x14ac:dyDescent="0.25">
      <c r="C415" s="4"/>
      <c r="D415" s="4"/>
      <c r="E415" s="4"/>
      <c r="F415" s="4"/>
    </row>
    <row r="416" spans="3:6" ht="12.5" x14ac:dyDescent="0.25">
      <c r="C416" s="4"/>
      <c r="D416" s="4"/>
      <c r="E416" s="4"/>
      <c r="F416" s="4"/>
    </row>
    <row r="417" spans="3:6" ht="12.5" x14ac:dyDescent="0.25">
      <c r="C417" s="4"/>
      <c r="D417" s="4"/>
      <c r="E417" s="4"/>
      <c r="F417" s="4"/>
    </row>
    <row r="418" spans="3:6" ht="12.5" x14ac:dyDescent="0.25">
      <c r="C418" s="4"/>
      <c r="D418" s="4"/>
      <c r="E418" s="4"/>
      <c r="F418" s="4"/>
    </row>
    <row r="419" spans="3:6" ht="12.5" x14ac:dyDescent="0.25">
      <c r="C419" s="4"/>
      <c r="D419" s="4"/>
      <c r="E419" s="4"/>
      <c r="F419" s="4"/>
    </row>
    <row r="420" spans="3:6" ht="12.5" x14ac:dyDescent="0.25">
      <c r="C420" s="4"/>
      <c r="D420" s="4"/>
      <c r="E420" s="4"/>
      <c r="F420" s="4"/>
    </row>
    <row r="421" spans="3:6" ht="12.5" x14ac:dyDescent="0.25">
      <c r="C421" s="4"/>
      <c r="D421" s="4"/>
      <c r="E421" s="4"/>
      <c r="F421" s="4"/>
    </row>
    <row r="422" spans="3:6" ht="12.5" x14ac:dyDescent="0.25">
      <c r="C422" s="4"/>
      <c r="D422" s="4"/>
      <c r="E422" s="4"/>
      <c r="F422" s="4"/>
    </row>
    <row r="423" spans="3:6" ht="12.5" x14ac:dyDescent="0.25">
      <c r="C423" s="4"/>
      <c r="D423" s="4"/>
      <c r="E423" s="4"/>
      <c r="F423" s="4"/>
    </row>
    <row r="424" spans="3:6" ht="12.5" x14ac:dyDescent="0.25">
      <c r="C424" s="4"/>
      <c r="D424" s="4"/>
      <c r="E424" s="4"/>
      <c r="F424" s="4"/>
    </row>
    <row r="425" spans="3:6" ht="12.5" x14ac:dyDescent="0.25">
      <c r="C425" s="4"/>
      <c r="D425" s="4"/>
      <c r="E425" s="4"/>
      <c r="F425" s="4"/>
    </row>
    <row r="426" spans="3:6" ht="12.5" x14ac:dyDescent="0.25">
      <c r="C426" s="4"/>
      <c r="D426" s="4"/>
      <c r="E426" s="4"/>
      <c r="F426" s="4"/>
    </row>
    <row r="427" spans="3:6" ht="12.5" x14ac:dyDescent="0.25">
      <c r="C427" s="4"/>
      <c r="D427" s="4"/>
      <c r="E427" s="4"/>
      <c r="F427" s="4"/>
    </row>
    <row r="428" spans="3:6" ht="12.5" x14ac:dyDescent="0.25">
      <c r="C428" s="4"/>
      <c r="D428" s="4"/>
      <c r="E428" s="4"/>
      <c r="F428" s="4"/>
    </row>
    <row r="429" spans="3:6" ht="12.5" x14ac:dyDescent="0.25">
      <c r="C429" s="4"/>
      <c r="D429" s="4"/>
      <c r="E429" s="4"/>
      <c r="F429" s="4"/>
    </row>
    <row r="430" spans="3:6" ht="12.5" x14ac:dyDescent="0.25">
      <c r="C430" s="4"/>
      <c r="D430" s="4"/>
      <c r="E430" s="4"/>
      <c r="F430" s="4"/>
    </row>
    <row r="431" spans="3:6" ht="12.5" x14ac:dyDescent="0.25">
      <c r="C431" s="4"/>
      <c r="D431" s="4"/>
      <c r="E431" s="4"/>
      <c r="F431" s="4"/>
    </row>
    <row r="432" spans="3:6" ht="12.5" x14ac:dyDescent="0.25">
      <c r="C432" s="4"/>
      <c r="D432" s="4"/>
      <c r="E432" s="4"/>
      <c r="F432" s="4"/>
    </row>
    <row r="433" spans="3:6" ht="12.5" x14ac:dyDescent="0.25">
      <c r="C433" s="4"/>
      <c r="D433" s="4"/>
      <c r="E433" s="4"/>
      <c r="F433" s="4"/>
    </row>
    <row r="434" spans="3:6" ht="12.5" x14ac:dyDescent="0.25">
      <c r="C434" s="4"/>
      <c r="D434" s="4"/>
      <c r="E434" s="4"/>
      <c r="F434" s="4"/>
    </row>
    <row r="435" spans="3:6" ht="12.5" x14ac:dyDescent="0.25">
      <c r="C435" s="4"/>
      <c r="D435" s="4"/>
      <c r="E435" s="4"/>
      <c r="F435" s="4"/>
    </row>
    <row r="436" spans="3:6" ht="12.5" x14ac:dyDescent="0.25">
      <c r="C436" s="4"/>
      <c r="D436" s="4"/>
      <c r="E436" s="4"/>
      <c r="F436" s="4"/>
    </row>
    <row r="437" spans="3:6" ht="12.5" x14ac:dyDescent="0.25">
      <c r="C437" s="4"/>
      <c r="D437" s="4"/>
      <c r="E437" s="4"/>
      <c r="F437" s="4"/>
    </row>
    <row r="438" spans="3:6" ht="12.5" x14ac:dyDescent="0.25">
      <c r="C438" s="4"/>
      <c r="D438" s="4"/>
      <c r="E438" s="4"/>
      <c r="F438" s="4"/>
    </row>
    <row r="439" spans="3:6" ht="12.5" x14ac:dyDescent="0.25">
      <c r="C439" s="4"/>
      <c r="D439" s="4"/>
      <c r="E439" s="4"/>
      <c r="F439" s="4"/>
    </row>
    <row r="440" spans="3:6" ht="12.5" x14ac:dyDescent="0.25">
      <c r="C440" s="4"/>
      <c r="D440" s="4"/>
      <c r="E440" s="4"/>
      <c r="F440" s="4"/>
    </row>
    <row r="441" spans="3:6" ht="12.5" x14ac:dyDescent="0.25">
      <c r="C441" s="4"/>
      <c r="D441" s="4"/>
      <c r="E441" s="4"/>
      <c r="F441" s="4"/>
    </row>
    <row r="442" spans="3:6" ht="12.5" x14ac:dyDescent="0.25">
      <c r="C442" s="4"/>
      <c r="D442" s="4"/>
      <c r="E442" s="4"/>
      <c r="F442" s="4"/>
    </row>
    <row r="443" spans="3:6" ht="12.5" x14ac:dyDescent="0.25">
      <c r="C443" s="4"/>
      <c r="D443" s="4"/>
      <c r="E443" s="4"/>
      <c r="F443" s="4"/>
    </row>
    <row r="444" spans="3:6" ht="12.5" x14ac:dyDescent="0.25">
      <c r="C444" s="4"/>
      <c r="D444" s="4"/>
      <c r="E444" s="4"/>
      <c r="F444" s="4"/>
    </row>
    <row r="445" spans="3:6" ht="12.5" x14ac:dyDescent="0.25">
      <c r="C445" s="4"/>
      <c r="D445" s="4"/>
      <c r="E445" s="4"/>
      <c r="F445" s="4"/>
    </row>
    <row r="446" spans="3:6" ht="12.5" x14ac:dyDescent="0.25">
      <c r="C446" s="4"/>
      <c r="D446" s="4"/>
      <c r="E446" s="4"/>
      <c r="F446" s="4"/>
    </row>
    <row r="447" spans="3:6" ht="12.5" x14ac:dyDescent="0.25">
      <c r="C447" s="4"/>
      <c r="D447" s="4"/>
      <c r="E447" s="4"/>
      <c r="F447" s="4"/>
    </row>
    <row r="448" spans="3:6" ht="12.5" x14ac:dyDescent="0.25">
      <c r="C448" s="4"/>
      <c r="D448" s="4"/>
      <c r="E448" s="4"/>
      <c r="F448" s="4"/>
    </row>
    <row r="449" spans="3:6" ht="12.5" x14ac:dyDescent="0.25">
      <c r="C449" s="4"/>
      <c r="D449" s="4"/>
      <c r="E449" s="4"/>
      <c r="F449" s="4"/>
    </row>
    <row r="450" spans="3:6" ht="12.5" x14ac:dyDescent="0.25">
      <c r="C450" s="4"/>
      <c r="D450" s="4"/>
      <c r="E450" s="4"/>
      <c r="F450" s="4"/>
    </row>
    <row r="451" spans="3:6" ht="12.5" x14ac:dyDescent="0.25">
      <c r="C451" s="4"/>
      <c r="D451" s="4"/>
      <c r="E451" s="4"/>
      <c r="F451" s="4"/>
    </row>
    <row r="452" spans="3:6" ht="12.5" x14ac:dyDescent="0.25">
      <c r="C452" s="4"/>
      <c r="D452" s="4"/>
      <c r="E452" s="4"/>
      <c r="F452" s="4"/>
    </row>
    <row r="453" spans="3:6" ht="12.5" x14ac:dyDescent="0.25">
      <c r="C453" s="4"/>
      <c r="D453" s="4"/>
      <c r="E453" s="4"/>
      <c r="F453" s="4"/>
    </row>
    <row r="454" spans="3:6" ht="12.5" x14ac:dyDescent="0.25">
      <c r="C454" s="4"/>
      <c r="D454" s="4"/>
      <c r="E454" s="4"/>
      <c r="F454" s="4"/>
    </row>
    <row r="455" spans="3:6" ht="12.5" x14ac:dyDescent="0.25">
      <c r="C455" s="4"/>
      <c r="D455" s="4"/>
      <c r="E455" s="4"/>
      <c r="F455" s="4"/>
    </row>
    <row r="456" spans="3:6" ht="12.5" x14ac:dyDescent="0.25">
      <c r="C456" s="4"/>
      <c r="D456" s="4"/>
      <c r="E456" s="4"/>
      <c r="F456" s="4"/>
    </row>
    <row r="457" spans="3:6" ht="12.5" x14ac:dyDescent="0.25">
      <c r="C457" s="4"/>
      <c r="D457" s="4"/>
      <c r="E457" s="4"/>
      <c r="F457" s="4"/>
    </row>
    <row r="458" spans="3:6" ht="12.5" x14ac:dyDescent="0.25">
      <c r="C458" s="4"/>
      <c r="D458" s="4"/>
      <c r="E458" s="4"/>
      <c r="F458" s="4"/>
    </row>
    <row r="459" spans="3:6" ht="12.5" x14ac:dyDescent="0.25">
      <c r="C459" s="4"/>
      <c r="D459" s="4"/>
      <c r="E459" s="4"/>
      <c r="F459" s="4"/>
    </row>
    <row r="460" spans="3:6" ht="12.5" x14ac:dyDescent="0.25">
      <c r="C460" s="4"/>
      <c r="D460" s="4"/>
      <c r="E460" s="4"/>
      <c r="F460" s="4"/>
    </row>
    <row r="461" spans="3:6" ht="12.5" x14ac:dyDescent="0.25">
      <c r="C461" s="4"/>
      <c r="D461" s="4"/>
      <c r="E461" s="4"/>
      <c r="F461" s="4"/>
    </row>
    <row r="462" spans="3:6" ht="12.5" x14ac:dyDescent="0.25">
      <c r="C462" s="4"/>
      <c r="D462" s="4"/>
      <c r="E462" s="4"/>
      <c r="F462" s="4"/>
    </row>
    <row r="463" spans="3:6" ht="12.5" x14ac:dyDescent="0.25">
      <c r="C463" s="4"/>
      <c r="D463" s="4"/>
      <c r="E463" s="4"/>
      <c r="F463" s="4"/>
    </row>
    <row r="464" spans="3:6" ht="12.5" x14ac:dyDescent="0.25">
      <c r="C464" s="4"/>
      <c r="D464" s="4"/>
      <c r="E464" s="4"/>
      <c r="F464" s="4"/>
    </row>
    <row r="465" spans="3:6" ht="12.5" x14ac:dyDescent="0.25">
      <c r="C465" s="4"/>
      <c r="D465" s="4"/>
      <c r="E465" s="4"/>
      <c r="F465" s="4"/>
    </row>
    <row r="466" spans="3:6" ht="12.5" x14ac:dyDescent="0.25">
      <c r="C466" s="4"/>
      <c r="D466" s="4"/>
      <c r="E466" s="4"/>
      <c r="F466" s="4"/>
    </row>
    <row r="467" spans="3:6" ht="12.5" x14ac:dyDescent="0.25">
      <c r="C467" s="4"/>
      <c r="D467" s="4"/>
      <c r="E467" s="4"/>
      <c r="F467" s="4"/>
    </row>
    <row r="468" spans="3:6" ht="12.5" x14ac:dyDescent="0.25">
      <c r="C468" s="4"/>
      <c r="D468" s="4"/>
      <c r="E468" s="4"/>
      <c r="F468" s="4"/>
    </row>
    <row r="469" spans="3:6" ht="12.5" x14ac:dyDescent="0.25">
      <c r="C469" s="4"/>
      <c r="D469" s="4"/>
      <c r="E469" s="4"/>
      <c r="F469" s="4"/>
    </row>
    <row r="470" spans="3:6" ht="12.5" x14ac:dyDescent="0.25">
      <c r="C470" s="4"/>
      <c r="D470" s="4"/>
      <c r="E470" s="4"/>
      <c r="F470" s="4"/>
    </row>
    <row r="471" spans="3:6" ht="12.5" x14ac:dyDescent="0.25">
      <c r="C471" s="4"/>
      <c r="D471" s="4"/>
      <c r="E471" s="4"/>
      <c r="F471" s="4"/>
    </row>
    <row r="472" spans="3:6" ht="12.5" x14ac:dyDescent="0.25">
      <c r="C472" s="4"/>
      <c r="D472" s="4"/>
      <c r="E472" s="4"/>
      <c r="F472" s="4"/>
    </row>
    <row r="473" spans="3:6" ht="12.5" x14ac:dyDescent="0.25">
      <c r="C473" s="4"/>
      <c r="D473" s="4"/>
      <c r="E473" s="4"/>
      <c r="F473" s="4"/>
    </row>
    <row r="474" spans="3:6" ht="12.5" x14ac:dyDescent="0.25">
      <c r="C474" s="4"/>
      <c r="D474" s="4"/>
      <c r="E474" s="4"/>
      <c r="F474" s="4"/>
    </row>
    <row r="475" spans="3:6" ht="12.5" x14ac:dyDescent="0.25">
      <c r="C475" s="4"/>
      <c r="D475" s="4"/>
      <c r="E475" s="4"/>
      <c r="F475" s="4"/>
    </row>
    <row r="476" spans="3:6" ht="12.5" x14ac:dyDescent="0.25">
      <c r="C476" s="4"/>
      <c r="D476" s="4"/>
      <c r="E476" s="4"/>
      <c r="F476" s="4"/>
    </row>
    <row r="477" spans="3:6" ht="12.5" x14ac:dyDescent="0.25">
      <c r="C477" s="4"/>
      <c r="D477" s="4"/>
      <c r="E477" s="4"/>
      <c r="F477" s="4"/>
    </row>
    <row r="478" spans="3:6" ht="12.5" x14ac:dyDescent="0.25">
      <c r="C478" s="4"/>
      <c r="D478" s="4"/>
      <c r="E478" s="4"/>
      <c r="F478" s="4"/>
    </row>
    <row r="479" spans="3:6" ht="12.5" x14ac:dyDescent="0.25">
      <c r="C479" s="4"/>
      <c r="D479" s="4"/>
      <c r="E479" s="4"/>
      <c r="F479" s="4"/>
    </row>
    <row r="480" spans="3:6" ht="12.5" x14ac:dyDescent="0.25">
      <c r="C480" s="4"/>
      <c r="D480" s="4"/>
      <c r="E480" s="4"/>
      <c r="F480" s="4"/>
    </row>
    <row r="481" spans="3:6" ht="12.5" x14ac:dyDescent="0.25">
      <c r="C481" s="4"/>
      <c r="D481" s="4"/>
      <c r="E481" s="4"/>
      <c r="F481" s="4"/>
    </row>
    <row r="482" spans="3:6" ht="12.5" x14ac:dyDescent="0.25">
      <c r="C482" s="4"/>
      <c r="D482" s="4"/>
      <c r="E482" s="4"/>
      <c r="F482" s="4"/>
    </row>
    <row r="483" spans="3:6" ht="12.5" x14ac:dyDescent="0.25">
      <c r="C483" s="4"/>
      <c r="D483" s="4"/>
      <c r="E483" s="4"/>
      <c r="F483" s="4"/>
    </row>
    <row r="484" spans="3:6" ht="12.5" x14ac:dyDescent="0.25">
      <c r="C484" s="4"/>
      <c r="D484" s="4"/>
      <c r="E484" s="4"/>
      <c r="F484" s="4"/>
    </row>
    <row r="485" spans="3:6" ht="12.5" x14ac:dyDescent="0.25">
      <c r="C485" s="4"/>
      <c r="D485" s="4"/>
      <c r="E485" s="4"/>
      <c r="F485" s="4"/>
    </row>
    <row r="486" spans="3:6" ht="12.5" x14ac:dyDescent="0.25">
      <c r="C486" s="4"/>
      <c r="D486" s="4"/>
      <c r="E486" s="4"/>
      <c r="F486" s="4"/>
    </row>
    <row r="487" spans="3:6" ht="12.5" x14ac:dyDescent="0.25">
      <c r="C487" s="4"/>
      <c r="D487" s="4"/>
      <c r="E487" s="4"/>
      <c r="F487" s="4"/>
    </row>
    <row r="488" spans="3:6" ht="12.5" x14ac:dyDescent="0.25">
      <c r="C488" s="4"/>
      <c r="D488" s="4"/>
      <c r="E488" s="4"/>
      <c r="F488" s="4"/>
    </row>
    <row r="489" spans="3:6" ht="12.5" x14ac:dyDescent="0.25">
      <c r="C489" s="4"/>
      <c r="D489" s="4"/>
      <c r="E489" s="4"/>
      <c r="F489" s="4"/>
    </row>
    <row r="490" spans="3:6" ht="12.5" x14ac:dyDescent="0.25">
      <c r="C490" s="4"/>
      <c r="D490" s="4"/>
      <c r="E490" s="4"/>
      <c r="F490" s="4"/>
    </row>
    <row r="491" spans="3:6" ht="12.5" x14ac:dyDescent="0.25">
      <c r="C491" s="4"/>
      <c r="D491" s="4"/>
      <c r="E491" s="4"/>
      <c r="F491" s="4"/>
    </row>
    <row r="492" spans="3:6" ht="12.5" x14ac:dyDescent="0.25">
      <c r="C492" s="4"/>
      <c r="D492" s="4"/>
      <c r="E492" s="4"/>
      <c r="F492" s="4"/>
    </row>
    <row r="493" spans="3:6" ht="12.5" x14ac:dyDescent="0.25">
      <c r="C493" s="4"/>
      <c r="D493" s="4"/>
      <c r="E493" s="4"/>
      <c r="F493" s="4"/>
    </row>
    <row r="494" spans="3:6" ht="12.5" x14ac:dyDescent="0.25">
      <c r="C494" s="4"/>
      <c r="D494" s="4"/>
      <c r="E494" s="4"/>
      <c r="F494" s="4"/>
    </row>
    <row r="495" spans="3:6" ht="12.5" x14ac:dyDescent="0.25">
      <c r="C495" s="4"/>
      <c r="D495" s="4"/>
      <c r="E495" s="4"/>
      <c r="F495" s="4"/>
    </row>
    <row r="496" spans="3:6" ht="12.5" x14ac:dyDescent="0.25">
      <c r="C496" s="4"/>
      <c r="D496" s="4"/>
      <c r="E496" s="4"/>
      <c r="F496" s="4"/>
    </row>
    <row r="497" spans="3:6" ht="12.5" x14ac:dyDescent="0.25">
      <c r="C497" s="4"/>
      <c r="D497" s="4"/>
      <c r="E497" s="4"/>
      <c r="F497" s="4"/>
    </row>
    <row r="498" spans="3:6" ht="12.5" x14ac:dyDescent="0.25">
      <c r="C498" s="4"/>
      <c r="D498" s="4"/>
      <c r="E498" s="4"/>
      <c r="F498" s="4"/>
    </row>
    <row r="499" spans="3:6" ht="12.5" x14ac:dyDescent="0.25">
      <c r="C499" s="4"/>
      <c r="D499" s="4"/>
      <c r="E499" s="4"/>
      <c r="F499" s="4"/>
    </row>
    <row r="500" spans="3:6" ht="12.5" x14ac:dyDescent="0.25">
      <c r="C500" s="4"/>
      <c r="D500" s="4"/>
      <c r="E500" s="4"/>
      <c r="F500" s="4"/>
    </row>
    <row r="501" spans="3:6" ht="12.5" x14ac:dyDescent="0.25">
      <c r="C501" s="4"/>
      <c r="D501" s="4"/>
      <c r="E501" s="4"/>
      <c r="F501" s="4"/>
    </row>
    <row r="502" spans="3:6" ht="12.5" x14ac:dyDescent="0.25">
      <c r="C502" s="4"/>
      <c r="D502" s="4"/>
      <c r="E502" s="4"/>
      <c r="F502" s="4"/>
    </row>
    <row r="503" spans="3:6" ht="12.5" x14ac:dyDescent="0.25">
      <c r="C503" s="4"/>
      <c r="D503" s="4"/>
      <c r="E503" s="4"/>
      <c r="F503" s="4"/>
    </row>
    <row r="504" spans="3:6" ht="12.5" x14ac:dyDescent="0.25">
      <c r="C504" s="4"/>
      <c r="D504" s="4"/>
      <c r="E504" s="4"/>
      <c r="F504" s="4"/>
    </row>
    <row r="505" spans="3:6" ht="12.5" x14ac:dyDescent="0.25">
      <c r="C505" s="4"/>
      <c r="D505" s="4"/>
      <c r="E505" s="4"/>
      <c r="F505" s="4"/>
    </row>
    <row r="506" spans="3:6" ht="12.5" x14ac:dyDescent="0.25">
      <c r="C506" s="4"/>
      <c r="D506" s="4"/>
      <c r="E506" s="4"/>
      <c r="F506" s="4"/>
    </row>
    <row r="507" spans="3:6" ht="12.5" x14ac:dyDescent="0.25">
      <c r="C507" s="4"/>
      <c r="D507" s="4"/>
      <c r="E507" s="4"/>
      <c r="F507" s="4"/>
    </row>
    <row r="508" spans="3:6" ht="12.5" x14ac:dyDescent="0.25">
      <c r="C508" s="4"/>
      <c r="D508" s="4"/>
      <c r="E508" s="4"/>
      <c r="F508" s="4"/>
    </row>
    <row r="509" spans="3:6" ht="12.5" x14ac:dyDescent="0.25">
      <c r="C509" s="4"/>
      <c r="D509" s="4"/>
      <c r="E509" s="4"/>
      <c r="F509" s="4"/>
    </row>
    <row r="510" spans="3:6" ht="12.5" x14ac:dyDescent="0.25">
      <c r="C510" s="4"/>
      <c r="D510" s="4"/>
      <c r="E510" s="4"/>
      <c r="F510" s="4"/>
    </row>
    <row r="511" spans="3:6" ht="12.5" x14ac:dyDescent="0.25">
      <c r="C511" s="4"/>
      <c r="D511" s="4"/>
      <c r="E511" s="4"/>
      <c r="F511" s="4"/>
    </row>
    <row r="512" spans="3:6" ht="12.5" x14ac:dyDescent="0.25">
      <c r="C512" s="4"/>
      <c r="D512" s="4"/>
      <c r="E512" s="4"/>
      <c r="F512" s="4"/>
    </row>
    <row r="513" spans="3:6" ht="12.5" x14ac:dyDescent="0.25">
      <c r="C513" s="4"/>
      <c r="D513" s="4"/>
      <c r="E513" s="4"/>
      <c r="F513" s="4"/>
    </row>
    <row r="514" spans="3:6" ht="12.5" x14ac:dyDescent="0.25">
      <c r="C514" s="4"/>
      <c r="D514" s="4"/>
      <c r="E514" s="4"/>
      <c r="F514" s="4"/>
    </row>
    <row r="515" spans="3:6" ht="12.5" x14ac:dyDescent="0.25">
      <c r="C515" s="4"/>
      <c r="D515" s="4"/>
      <c r="E515" s="4"/>
      <c r="F515" s="4"/>
    </row>
    <row r="516" spans="3:6" ht="12.5" x14ac:dyDescent="0.25">
      <c r="C516" s="4"/>
      <c r="D516" s="4"/>
      <c r="E516" s="4"/>
      <c r="F516" s="4"/>
    </row>
    <row r="517" spans="3:6" ht="12.5" x14ac:dyDescent="0.25">
      <c r="C517" s="4"/>
      <c r="D517" s="4"/>
      <c r="E517" s="4"/>
      <c r="F517" s="4"/>
    </row>
    <row r="518" spans="3:6" ht="12.5" x14ac:dyDescent="0.25">
      <c r="C518" s="4"/>
      <c r="D518" s="4"/>
      <c r="E518" s="4"/>
      <c r="F518" s="4"/>
    </row>
    <row r="519" spans="3:6" ht="12.5" x14ac:dyDescent="0.25">
      <c r="C519" s="4"/>
      <c r="D519" s="4"/>
      <c r="E519" s="4"/>
      <c r="F519" s="4"/>
    </row>
    <row r="520" spans="3:6" ht="12.5" x14ac:dyDescent="0.25">
      <c r="C520" s="4"/>
      <c r="D520" s="4"/>
      <c r="E520" s="4"/>
      <c r="F520" s="4"/>
    </row>
    <row r="521" spans="3:6" ht="12.5" x14ac:dyDescent="0.25">
      <c r="C521" s="4"/>
      <c r="D521" s="4"/>
      <c r="E521" s="4"/>
      <c r="F521" s="4"/>
    </row>
    <row r="522" spans="3:6" ht="12.5" x14ac:dyDescent="0.25">
      <c r="C522" s="4"/>
      <c r="D522" s="4"/>
      <c r="E522" s="4"/>
      <c r="F522" s="4"/>
    </row>
    <row r="523" spans="3:6" ht="12.5" x14ac:dyDescent="0.25">
      <c r="C523" s="4"/>
      <c r="D523" s="4"/>
      <c r="E523" s="4"/>
      <c r="F523" s="4"/>
    </row>
    <row r="524" spans="3:6" ht="12.5" x14ac:dyDescent="0.25">
      <c r="C524" s="4"/>
      <c r="D524" s="4"/>
      <c r="E524" s="4"/>
      <c r="F524" s="4"/>
    </row>
    <row r="525" spans="3:6" ht="12.5" x14ac:dyDescent="0.25">
      <c r="C525" s="4"/>
      <c r="D525" s="4"/>
      <c r="E525" s="4"/>
      <c r="F525" s="4"/>
    </row>
    <row r="526" spans="3:6" ht="12.5" x14ac:dyDescent="0.25">
      <c r="C526" s="4"/>
      <c r="D526" s="4"/>
      <c r="E526" s="4"/>
      <c r="F526" s="4"/>
    </row>
    <row r="527" spans="3:6" ht="12.5" x14ac:dyDescent="0.25">
      <c r="C527" s="4"/>
      <c r="D527" s="4"/>
      <c r="E527" s="4"/>
      <c r="F527" s="4"/>
    </row>
    <row r="528" spans="3:6" ht="12.5" x14ac:dyDescent="0.25">
      <c r="C528" s="4"/>
      <c r="D528" s="4"/>
      <c r="E528" s="4"/>
      <c r="F528" s="4"/>
    </row>
    <row r="529" spans="3:6" ht="12.5" x14ac:dyDescent="0.25">
      <c r="C529" s="4"/>
      <c r="D529" s="4"/>
      <c r="E529" s="4"/>
      <c r="F529" s="4"/>
    </row>
    <row r="530" spans="3:6" ht="12.5" x14ac:dyDescent="0.25">
      <c r="C530" s="4"/>
      <c r="D530" s="4"/>
      <c r="E530" s="4"/>
      <c r="F530" s="4"/>
    </row>
    <row r="531" spans="3:6" ht="12.5" x14ac:dyDescent="0.25">
      <c r="C531" s="4"/>
      <c r="D531" s="4"/>
      <c r="E531" s="4"/>
      <c r="F531" s="4"/>
    </row>
    <row r="532" spans="3:6" ht="12.5" x14ac:dyDescent="0.25">
      <c r="C532" s="4"/>
      <c r="D532" s="4"/>
      <c r="E532" s="4"/>
      <c r="F532" s="4"/>
    </row>
    <row r="533" spans="3:6" ht="12.5" x14ac:dyDescent="0.25">
      <c r="C533" s="4"/>
      <c r="D533" s="4"/>
      <c r="E533" s="4"/>
      <c r="F533" s="4"/>
    </row>
    <row r="534" spans="3:6" ht="12.5" x14ac:dyDescent="0.25">
      <c r="C534" s="4"/>
      <c r="D534" s="4"/>
      <c r="E534" s="4"/>
      <c r="F534" s="4"/>
    </row>
    <row r="535" spans="3:6" ht="12.5" x14ac:dyDescent="0.25">
      <c r="C535" s="4"/>
      <c r="D535" s="4"/>
      <c r="E535" s="4"/>
      <c r="F535" s="4"/>
    </row>
    <row r="536" spans="3:6" ht="12.5" x14ac:dyDescent="0.25">
      <c r="C536" s="4"/>
      <c r="D536" s="4"/>
      <c r="E536" s="4"/>
      <c r="F536" s="4"/>
    </row>
    <row r="537" spans="3:6" ht="12.5" x14ac:dyDescent="0.25">
      <c r="C537" s="4"/>
      <c r="D537" s="4"/>
      <c r="E537" s="4"/>
      <c r="F537" s="4"/>
    </row>
    <row r="538" spans="3:6" ht="12.5" x14ac:dyDescent="0.25">
      <c r="C538" s="4"/>
      <c r="D538" s="4"/>
      <c r="E538" s="4"/>
      <c r="F538" s="4"/>
    </row>
    <row r="539" spans="3:6" ht="12.5" x14ac:dyDescent="0.25">
      <c r="C539" s="4"/>
      <c r="D539" s="4"/>
      <c r="E539" s="4"/>
      <c r="F539" s="4"/>
    </row>
    <row r="540" spans="3:6" ht="12.5" x14ac:dyDescent="0.25">
      <c r="C540" s="4"/>
      <c r="D540" s="4"/>
      <c r="E540" s="4"/>
      <c r="F540" s="4"/>
    </row>
    <row r="541" spans="3:6" ht="12.5" x14ac:dyDescent="0.25">
      <c r="C541" s="4"/>
      <c r="D541" s="4"/>
      <c r="E541" s="4"/>
      <c r="F541" s="4"/>
    </row>
    <row r="542" spans="3:6" ht="12.5" x14ac:dyDescent="0.25">
      <c r="C542" s="4"/>
      <c r="D542" s="4"/>
      <c r="E542" s="4"/>
      <c r="F542" s="4"/>
    </row>
    <row r="543" spans="3:6" ht="12.5" x14ac:dyDescent="0.25">
      <c r="C543" s="4"/>
      <c r="D543" s="4"/>
      <c r="E543" s="4"/>
      <c r="F543" s="4"/>
    </row>
    <row r="544" spans="3:6" ht="12.5" x14ac:dyDescent="0.25">
      <c r="C544" s="4"/>
      <c r="D544" s="4"/>
      <c r="E544" s="4"/>
      <c r="F544" s="4"/>
    </row>
    <row r="545" spans="3:6" ht="12.5" x14ac:dyDescent="0.25">
      <c r="C545" s="4"/>
      <c r="D545" s="4"/>
      <c r="E545" s="4"/>
      <c r="F545" s="4"/>
    </row>
    <row r="546" spans="3:6" ht="12.5" x14ac:dyDescent="0.25">
      <c r="C546" s="4"/>
      <c r="D546" s="4"/>
      <c r="E546" s="4"/>
      <c r="F546" s="4"/>
    </row>
    <row r="547" spans="3:6" ht="12.5" x14ac:dyDescent="0.25">
      <c r="C547" s="4"/>
      <c r="D547" s="4"/>
      <c r="E547" s="4"/>
      <c r="F547" s="4"/>
    </row>
    <row r="548" spans="3:6" ht="12.5" x14ac:dyDescent="0.25">
      <c r="C548" s="4"/>
      <c r="D548" s="4"/>
      <c r="E548" s="4"/>
      <c r="F548" s="4"/>
    </row>
    <row r="549" spans="3:6" ht="12.5" x14ac:dyDescent="0.25">
      <c r="C549" s="4"/>
      <c r="D549" s="4"/>
      <c r="E549" s="4"/>
      <c r="F549" s="4"/>
    </row>
    <row r="550" spans="3:6" ht="12.5" x14ac:dyDescent="0.25">
      <c r="C550" s="4"/>
      <c r="D550" s="4"/>
      <c r="E550" s="4"/>
      <c r="F550" s="4"/>
    </row>
    <row r="551" spans="3:6" ht="12.5" x14ac:dyDescent="0.25">
      <c r="C551" s="4"/>
      <c r="D551" s="4"/>
      <c r="E551" s="4"/>
      <c r="F551" s="4"/>
    </row>
    <row r="552" spans="3:6" ht="12.5" x14ac:dyDescent="0.25">
      <c r="C552" s="4"/>
      <c r="D552" s="4"/>
      <c r="E552" s="4"/>
      <c r="F552" s="4"/>
    </row>
    <row r="553" spans="3:6" ht="12.5" x14ac:dyDescent="0.25">
      <c r="C553" s="4"/>
      <c r="D553" s="4"/>
      <c r="E553" s="4"/>
      <c r="F553" s="4"/>
    </row>
    <row r="554" spans="3:6" ht="12.5" x14ac:dyDescent="0.25">
      <c r="C554" s="4"/>
      <c r="D554" s="4"/>
      <c r="E554" s="4"/>
      <c r="F554" s="4"/>
    </row>
    <row r="555" spans="3:6" ht="12.5" x14ac:dyDescent="0.25">
      <c r="C555" s="4"/>
      <c r="D555" s="4"/>
      <c r="E555" s="4"/>
      <c r="F555" s="4"/>
    </row>
    <row r="556" spans="3:6" ht="12.5" x14ac:dyDescent="0.25">
      <c r="C556" s="4"/>
      <c r="D556" s="4"/>
      <c r="E556" s="4"/>
      <c r="F556" s="4"/>
    </row>
    <row r="557" spans="3:6" ht="12.5" x14ac:dyDescent="0.25">
      <c r="C557" s="4"/>
      <c r="D557" s="4"/>
      <c r="E557" s="4"/>
      <c r="F557" s="4"/>
    </row>
    <row r="558" spans="3:6" ht="12.5" x14ac:dyDescent="0.25">
      <c r="C558" s="4"/>
      <c r="D558" s="4"/>
      <c r="E558" s="4"/>
      <c r="F558" s="4"/>
    </row>
    <row r="559" spans="3:6" ht="12.5" x14ac:dyDescent="0.25">
      <c r="C559" s="4"/>
      <c r="D559" s="4"/>
      <c r="E559" s="4"/>
      <c r="F559" s="4"/>
    </row>
    <row r="560" spans="3:6" ht="12.5" x14ac:dyDescent="0.25">
      <c r="C560" s="4"/>
      <c r="D560" s="4"/>
      <c r="E560" s="4"/>
      <c r="F560" s="4"/>
    </row>
    <row r="561" spans="3:6" ht="12.5" x14ac:dyDescent="0.25">
      <c r="C561" s="4"/>
      <c r="D561" s="4"/>
      <c r="E561" s="4"/>
      <c r="F561" s="4"/>
    </row>
    <row r="562" spans="3:6" ht="12.5" x14ac:dyDescent="0.25">
      <c r="C562" s="4"/>
      <c r="D562" s="4"/>
      <c r="E562" s="4"/>
      <c r="F562" s="4"/>
    </row>
    <row r="563" spans="3:6" ht="12.5" x14ac:dyDescent="0.25">
      <c r="C563" s="4"/>
      <c r="D563" s="4"/>
      <c r="E563" s="4"/>
      <c r="F563" s="4"/>
    </row>
    <row r="564" spans="3:6" ht="12.5" x14ac:dyDescent="0.25">
      <c r="C564" s="4"/>
      <c r="D564" s="4"/>
      <c r="E564" s="4"/>
      <c r="F564" s="4"/>
    </row>
    <row r="565" spans="3:6" ht="12.5" x14ac:dyDescent="0.25">
      <c r="C565" s="4"/>
      <c r="D565" s="4"/>
      <c r="E565" s="4"/>
      <c r="F565" s="4"/>
    </row>
    <row r="566" spans="3:6" ht="12.5" x14ac:dyDescent="0.25">
      <c r="C566" s="4"/>
      <c r="D566" s="4"/>
      <c r="E566" s="4"/>
      <c r="F566" s="4"/>
    </row>
    <row r="567" spans="3:6" ht="12.5" x14ac:dyDescent="0.25">
      <c r="C567" s="4"/>
      <c r="D567" s="4"/>
      <c r="E567" s="4"/>
      <c r="F567" s="4"/>
    </row>
    <row r="568" spans="3:6" ht="12.5" x14ac:dyDescent="0.25">
      <c r="C568" s="4"/>
      <c r="D568" s="4"/>
      <c r="E568" s="4"/>
      <c r="F568" s="4"/>
    </row>
    <row r="569" spans="3:6" ht="12.5" x14ac:dyDescent="0.25">
      <c r="C569" s="4"/>
      <c r="D569" s="4"/>
      <c r="E569" s="4"/>
      <c r="F569" s="4"/>
    </row>
    <row r="570" spans="3:6" ht="12.5" x14ac:dyDescent="0.25">
      <c r="C570" s="4"/>
      <c r="D570" s="4"/>
      <c r="E570" s="4"/>
      <c r="F570" s="4"/>
    </row>
    <row r="571" spans="3:6" ht="12.5" x14ac:dyDescent="0.25">
      <c r="C571" s="4"/>
      <c r="D571" s="4"/>
      <c r="E571" s="4"/>
      <c r="F571" s="4"/>
    </row>
    <row r="572" spans="3:6" ht="12.5" x14ac:dyDescent="0.25">
      <c r="C572" s="4"/>
      <c r="D572" s="4"/>
      <c r="E572" s="4"/>
      <c r="F572" s="4"/>
    </row>
    <row r="573" spans="3:6" ht="12.5" x14ac:dyDescent="0.25">
      <c r="C573" s="4"/>
      <c r="D573" s="4"/>
      <c r="E573" s="4"/>
      <c r="F573" s="4"/>
    </row>
    <row r="574" spans="3:6" ht="12.5" x14ac:dyDescent="0.25">
      <c r="C574" s="4"/>
      <c r="D574" s="4"/>
      <c r="E574" s="4"/>
      <c r="F574" s="4"/>
    </row>
    <row r="575" spans="3:6" ht="12.5" x14ac:dyDescent="0.25">
      <c r="C575" s="4"/>
      <c r="D575" s="4"/>
      <c r="E575" s="4"/>
      <c r="F575" s="4"/>
    </row>
    <row r="576" spans="3:6" ht="12.5" x14ac:dyDescent="0.25">
      <c r="C576" s="4"/>
      <c r="D576" s="4"/>
      <c r="E576" s="4"/>
      <c r="F576" s="4"/>
    </row>
    <row r="577" spans="3:6" ht="12.5" x14ac:dyDescent="0.25">
      <c r="C577" s="4"/>
      <c r="D577" s="4"/>
      <c r="E577" s="4"/>
      <c r="F577" s="4"/>
    </row>
    <row r="578" spans="3:6" ht="12.5" x14ac:dyDescent="0.25">
      <c r="C578" s="4"/>
      <c r="D578" s="4"/>
      <c r="E578" s="4"/>
      <c r="F578" s="4"/>
    </row>
    <row r="579" spans="3:6" ht="12.5" x14ac:dyDescent="0.25">
      <c r="C579" s="4"/>
      <c r="D579" s="4"/>
      <c r="E579" s="4"/>
      <c r="F579" s="4"/>
    </row>
    <row r="580" spans="3:6" ht="12.5" x14ac:dyDescent="0.25">
      <c r="C580" s="4"/>
      <c r="D580" s="4"/>
      <c r="E580" s="4"/>
      <c r="F580" s="4"/>
    </row>
    <row r="581" spans="3:6" ht="12.5" x14ac:dyDescent="0.25">
      <c r="C581" s="4"/>
      <c r="D581" s="4"/>
      <c r="E581" s="4"/>
      <c r="F581" s="4"/>
    </row>
    <row r="582" spans="3:6" ht="12.5" x14ac:dyDescent="0.25">
      <c r="C582" s="4"/>
      <c r="D582" s="4"/>
      <c r="E582" s="4"/>
      <c r="F582" s="4"/>
    </row>
    <row r="583" spans="3:6" ht="12.5" x14ac:dyDescent="0.25">
      <c r="C583" s="4"/>
      <c r="D583" s="4"/>
      <c r="E583" s="4"/>
      <c r="F583" s="4"/>
    </row>
    <row r="584" spans="3:6" ht="12.5" x14ac:dyDescent="0.25">
      <c r="C584" s="4"/>
      <c r="D584" s="4"/>
      <c r="E584" s="4"/>
      <c r="F584" s="4"/>
    </row>
    <row r="585" spans="3:6" ht="12.5" x14ac:dyDescent="0.25">
      <c r="C585" s="4"/>
      <c r="D585" s="4"/>
      <c r="E585" s="4"/>
      <c r="F585" s="4"/>
    </row>
    <row r="586" spans="3:6" ht="12.5" x14ac:dyDescent="0.25">
      <c r="C586" s="4"/>
      <c r="D586" s="4"/>
      <c r="E586" s="4"/>
      <c r="F586" s="4"/>
    </row>
    <row r="587" spans="3:6" ht="12.5" x14ac:dyDescent="0.25">
      <c r="C587" s="4"/>
      <c r="D587" s="4"/>
      <c r="E587" s="4"/>
      <c r="F587" s="4"/>
    </row>
    <row r="588" spans="3:6" ht="12.5" x14ac:dyDescent="0.25">
      <c r="C588" s="4"/>
      <c r="D588" s="4"/>
      <c r="E588" s="4"/>
      <c r="F588" s="4"/>
    </row>
    <row r="589" spans="3:6" ht="12.5" x14ac:dyDescent="0.25">
      <c r="C589" s="4"/>
      <c r="D589" s="4"/>
      <c r="E589" s="4"/>
      <c r="F589" s="4"/>
    </row>
    <row r="590" spans="3:6" ht="12.5" x14ac:dyDescent="0.25">
      <c r="C590" s="4"/>
      <c r="D590" s="4"/>
      <c r="E590" s="4"/>
      <c r="F590" s="4"/>
    </row>
    <row r="591" spans="3:6" ht="12.5" x14ac:dyDescent="0.25">
      <c r="C591" s="4"/>
      <c r="D591" s="4"/>
      <c r="E591" s="4"/>
      <c r="F591" s="4"/>
    </row>
    <row r="592" spans="3:6" ht="12.5" x14ac:dyDescent="0.25">
      <c r="C592" s="4"/>
      <c r="D592" s="4"/>
      <c r="E592" s="4"/>
      <c r="F592" s="4"/>
    </row>
    <row r="593" spans="3:6" ht="12.5" x14ac:dyDescent="0.25">
      <c r="C593" s="4"/>
      <c r="D593" s="4"/>
      <c r="E593" s="4"/>
      <c r="F593" s="4"/>
    </row>
    <row r="594" spans="3:6" ht="12.5" x14ac:dyDescent="0.25">
      <c r="C594" s="4"/>
      <c r="D594" s="4"/>
      <c r="E594" s="4"/>
      <c r="F594" s="4"/>
    </row>
    <row r="595" spans="3:6" ht="12.5" x14ac:dyDescent="0.25">
      <c r="C595" s="4"/>
      <c r="D595" s="4"/>
      <c r="E595" s="4"/>
      <c r="F595" s="4"/>
    </row>
    <row r="596" spans="3:6" ht="12.5" x14ac:dyDescent="0.25">
      <c r="C596" s="4"/>
      <c r="D596" s="4"/>
      <c r="E596" s="4"/>
      <c r="F596" s="4"/>
    </row>
    <row r="597" spans="3:6" ht="12.5" x14ac:dyDescent="0.25">
      <c r="C597" s="4"/>
      <c r="D597" s="4"/>
      <c r="E597" s="4"/>
      <c r="F597" s="4"/>
    </row>
    <row r="598" spans="3:6" ht="12.5" x14ac:dyDescent="0.25">
      <c r="C598" s="4"/>
      <c r="D598" s="4"/>
      <c r="E598" s="4"/>
      <c r="F598" s="4"/>
    </row>
    <row r="599" spans="3:6" ht="12.5" x14ac:dyDescent="0.25">
      <c r="C599" s="4"/>
      <c r="D599" s="4"/>
      <c r="E599" s="4"/>
      <c r="F599" s="4"/>
    </row>
    <row r="600" spans="3:6" ht="12.5" x14ac:dyDescent="0.25">
      <c r="C600" s="4"/>
      <c r="D600" s="4"/>
      <c r="E600" s="4"/>
      <c r="F600" s="4"/>
    </row>
    <row r="601" spans="3:6" ht="12.5" x14ac:dyDescent="0.25">
      <c r="C601" s="4"/>
      <c r="D601" s="4"/>
      <c r="E601" s="4"/>
      <c r="F601" s="4"/>
    </row>
    <row r="602" spans="3:6" ht="12.5" x14ac:dyDescent="0.25">
      <c r="C602" s="4"/>
      <c r="D602" s="4"/>
      <c r="E602" s="4"/>
      <c r="F602" s="4"/>
    </row>
    <row r="603" spans="3:6" ht="12.5" x14ac:dyDescent="0.25">
      <c r="C603" s="4"/>
      <c r="D603" s="4"/>
      <c r="E603" s="4"/>
      <c r="F603" s="4"/>
    </row>
    <row r="604" spans="3:6" ht="12.5" x14ac:dyDescent="0.25">
      <c r="C604" s="4"/>
      <c r="D604" s="4"/>
      <c r="E604" s="4"/>
      <c r="F604" s="4"/>
    </row>
    <row r="605" spans="3:6" ht="12.5" x14ac:dyDescent="0.25">
      <c r="C605" s="4"/>
      <c r="D605" s="4"/>
      <c r="E605" s="4"/>
      <c r="F605" s="4"/>
    </row>
    <row r="606" spans="3:6" ht="12.5" x14ac:dyDescent="0.25">
      <c r="C606" s="4"/>
      <c r="D606" s="4"/>
      <c r="E606" s="4"/>
      <c r="F606" s="4"/>
    </row>
    <row r="607" spans="3:6" ht="12.5" x14ac:dyDescent="0.25">
      <c r="C607" s="4"/>
      <c r="D607" s="4"/>
      <c r="E607" s="4"/>
      <c r="F607" s="4"/>
    </row>
    <row r="608" spans="3:6" ht="12.5" x14ac:dyDescent="0.25">
      <c r="C608" s="4"/>
      <c r="D608" s="4"/>
      <c r="E608" s="4"/>
      <c r="F608" s="4"/>
    </row>
    <row r="609" spans="3:6" ht="12.5" x14ac:dyDescent="0.25">
      <c r="C609" s="4"/>
      <c r="D609" s="4"/>
      <c r="E609" s="4"/>
      <c r="F609" s="4"/>
    </row>
    <row r="610" spans="3:6" ht="12.5" x14ac:dyDescent="0.25">
      <c r="C610" s="4"/>
      <c r="D610" s="4"/>
      <c r="E610" s="4"/>
      <c r="F610" s="4"/>
    </row>
    <row r="611" spans="3:6" ht="12.5" x14ac:dyDescent="0.25">
      <c r="C611" s="4"/>
      <c r="D611" s="4"/>
      <c r="E611" s="4"/>
      <c r="F611" s="4"/>
    </row>
    <row r="612" spans="3:6" ht="12.5" x14ac:dyDescent="0.25">
      <c r="C612" s="4"/>
      <c r="D612" s="4"/>
      <c r="E612" s="4"/>
      <c r="F612" s="4"/>
    </row>
    <row r="613" spans="3:6" ht="12.5" x14ac:dyDescent="0.25">
      <c r="C613" s="4"/>
      <c r="D613" s="4"/>
      <c r="E613" s="4"/>
      <c r="F613" s="4"/>
    </row>
    <row r="614" spans="3:6" ht="12.5" x14ac:dyDescent="0.25">
      <c r="C614" s="4"/>
      <c r="D614" s="4"/>
      <c r="E614" s="4"/>
      <c r="F614" s="4"/>
    </row>
    <row r="615" spans="3:6" ht="12.5" x14ac:dyDescent="0.25">
      <c r="C615" s="4"/>
      <c r="D615" s="4"/>
      <c r="E615" s="4"/>
      <c r="F615" s="4"/>
    </row>
    <row r="616" spans="3:6" ht="12.5" x14ac:dyDescent="0.25">
      <c r="C616" s="4"/>
      <c r="D616" s="4"/>
      <c r="E616" s="4"/>
      <c r="F616" s="4"/>
    </row>
    <row r="617" spans="3:6" ht="12.5" x14ac:dyDescent="0.25">
      <c r="C617" s="4"/>
      <c r="D617" s="4"/>
      <c r="E617" s="4"/>
      <c r="F617" s="4"/>
    </row>
    <row r="618" spans="3:6" ht="12.5" x14ac:dyDescent="0.25">
      <c r="C618" s="4"/>
      <c r="D618" s="4"/>
      <c r="E618" s="4"/>
      <c r="F618" s="4"/>
    </row>
    <row r="619" spans="3:6" ht="12.5" x14ac:dyDescent="0.25">
      <c r="C619" s="4"/>
      <c r="D619" s="4"/>
      <c r="E619" s="4"/>
      <c r="F619" s="4"/>
    </row>
    <row r="620" spans="3:6" ht="12.5" x14ac:dyDescent="0.25">
      <c r="C620" s="4"/>
      <c r="D620" s="4"/>
      <c r="E620" s="4"/>
      <c r="F620" s="4"/>
    </row>
    <row r="621" spans="3:6" ht="12.5" x14ac:dyDescent="0.25">
      <c r="C621" s="4"/>
      <c r="D621" s="4"/>
      <c r="E621" s="4"/>
      <c r="F621" s="4"/>
    </row>
    <row r="622" spans="3:6" ht="12.5" x14ac:dyDescent="0.25">
      <c r="C622" s="4"/>
      <c r="D622" s="4"/>
      <c r="E622" s="4"/>
      <c r="F622" s="4"/>
    </row>
    <row r="623" spans="3:6" ht="12.5" x14ac:dyDescent="0.25">
      <c r="C623" s="4"/>
      <c r="D623" s="4"/>
      <c r="E623" s="4"/>
      <c r="F623" s="4"/>
    </row>
    <row r="624" spans="3:6" ht="12.5" x14ac:dyDescent="0.25">
      <c r="C624" s="4"/>
      <c r="D624" s="4"/>
      <c r="E624" s="4"/>
      <c r="F624" s="4"/>
    </row>
    <row r="625" spans="3:6" ht="12.5" x14ac:dyDescent="0.25">
      <c r="C625" s="4"/>
      <c r="D625" s="4"/>
      <c r="E625" s="4"/>
      <c r="F625" s="4"/>
    </row>
    <row r="626" spans="3:6" ht="12.5" x14ac:dyDescent="0.25">
      <c r="C626" s="4"/>
      <c r="D626" s="4"/>
      <c r="E626" s="4"/>
      <c r="F626" s="4"/>
    </row>
    <row r="627" spans="3:6" ht="12.5" x14ac:dyDescent="0.25">
      <c r="C627" s="4"/>
      <c r="D627" s="4"/>
      <c r="E627" s="4"/>
      <c r="F627" s="4"/>
    </row>
    <row r="628" spans="3:6" ht="12.5" x14ac:dyDescent="0.25">
      <c r="C628" s="4"/>
      <c r="D628" s="4"/>
      <c r="E628" s="4"/>
      <c r="F628" s="4"/>
    </row>
    <row r="629" spans="3:6" ht="12.5" x14ac:dyDescent="0.25">
      <c r="C629" s="4"/>
      <c r="D629" s="4"/>
      <c r="E629" s="4"/>
      <c r="F629" s="4"/>
    </row>
    <row r="630" spans="3:6" ht="12.5" x14ac:dyDescent="0.25">
      <c r="C630" s="4"/>
      <c r="D630" s="4"/>
      <c r="E630" s="4"/>
      <c r="F630" s="4"/>
    </row>
    <row r="631" spans="3:6" ht="12.5" x14ac:dyDescent="0.25">
      <c r="C631" s="4"/>
      <c r="D631" s="4"/>
      <c r="E631" s="4"/>
      <c r="F631" s="4"/>
    </row>
    <row r="632" spans="3:6" ht="12.5" x14ac:dyDescent="0.25">
      <c r="C632" s="4"/>
      <c r="D632" s="4"/>
      <c r="E632" s="4"/>
      <c r="F632" s="4"/>
    </row>
    <row r="633" spans="3:6" ht="12.5" x14ac:dyDescent="0.25">
      <c r="C633" s="4"/>
      <c r="D633" s="4"/>
      <c r="E633" s="4"/>
      <c r="F633" s="4"/>
    </row>
    <row r="634" spans="3:6" ht="12.5" x14ac:dyDescent="0.25">
      <c r="C634" s="4"/>
      <c r="D634" s="4"/>
      <c r="E634" s="4"/>
      <c r="F634" s="4"/>
    </row>
    <row r="635" spans="3:6" ht="12.5" x14ac:dyDescent="0.25">
      <c r="C635" s="4"/>
      <c r="D635" s="4"/>
      <c r="E635" s="4"/>
      <c r="F635" s="4"/>
    </row>
    <row r="636" spans="3:6" ht="12.5" x14ac:dyDescent="0.25">
      <c r="C636" s="4"/>
      <c r="D636" s="4"/>
      <c r="E636" s="4"/>
      <c r="F636" s="4"/>
    </row>
    <row r="637" spans="3:6" ht="12.5" x14ac:dyDescent="0.25">
      <c r="C637" s="4"/>
      <c r="D637" s="4"/>
      <c r="E637" s="4"/>
      <c r="F637" s="4"/>
    </row>
    <row r="638" spans="3:6" ht="12.5" x14ac:dyDescent="0.25">
      <c r="C638" s="4"/>
      <c r="D638" s="4"/>
      <c r="E638" s="4"/>
      <c r="F638" s="4"/>
    </row>
    <row r="639" spans="3:6" ht="12.5" x14ac:dyDescent="0.25">
      <c r="C639" s="4"/>
      <c r="D639" s="4"/>
      <c r="E639" s="4"/>
      <c r="F639" s="4"/>
    </row>
    <row r="640" spans="3:6" ht="12.5" x14ac:dyDescent="0.25">
      <c r="C640" s="4"/>
      <c r="D640" s="4"/>
      <c r="E640" s="4"/>
      <c r="F640" s="4"/>
    </row>
    <row r="641" spans="3:6" ht="12.5" x14ac:dyDescent="0.25">
      <c r="C641" s="4"/>
      <c r="D641" s="4"/>
      <c r="E641" s="4"/>
      <c r="F641" s="4"/>
    </row>
    <row r="642" spans="3:6" ht="12.5" x14ac:dyDescent="0.25">
      <c r="C642" s="4"/>
      <c r="D642" s="4"/>
      <c r="E642" s="4"/>
      <c r="F642" s="4"/>
    </row>
    <row r="643" spans="3:6" ht="12.5" x14ac:dyDescent="0.25">
      <c r="C643" s="4"/>
      <c r="D643" s="4"/>
      <c r="E643" s="4"/>
      <c r="F643" s="4"/>
    </row>
    <row r="644" spans="3:6" ht="12.5" x14ac:dyDescent="0.25">
      <c r="C644" s="4"/>
      <c r="D644" s="4"/>
      <c r="E644" s="4"/>
      <c r="F644" s="4"/>
    </row>
    <row r="645" spans="3:6" ht="12.5" x14ac:dyDescent="0.25">
      <c r="C645" s="4"/>
      <c r="D645" s="4"/>
      <c r="E645" s="4"/>
      <c r="F645" s="4"/>
    </row>
    <row r="646" spans="3:6" ht="12.5" x14ac:dyDescent="0.25">
      <c r="C646" s="4"/>
      <c r="D646" s="4"/>
      <c r="E646" s="4"/>
      <c r="F646" s="4"/>
    </row>
    <row r="647" spans="3:6" ht="12.5" x14ac:dyDescent="0.25">
      <c r="C647" s="4"/>
      <c r="D647" s="4"/>
      <c r="E647" s="4"/>
      <c r="F647" s="4"/>
    </row>
    <row r="648" spans="3:6" ht="12.5" x14ac:dyDescent="0.25">
      <c r="C648" s="4"/>
      <c r="D648" s="4"/>
      <c r="E648" s="4"/>
      <c r="F648" s="4"/>
    </row>
    <row r="649" spans="3:6" ht="12.5" x14ac:dyDescent="0.25">
      <c r="C649" s="4"/>
      <c r="D649" s="4"/>
      <c r="E649" s="4"/>
      <c r="F649" s="4"/>
    </row>
    <row r="650" spans="3:6" ht="12.5" x14ac:dyDescent="0.25">
      <c r="C650" s="4"/>
      <c r="D650" s="4"/>
      <c r="E650" s="4"/>
      <c r="F650" s="4"/>
    </row>
    <row r="651" spans="3:6" ht="12.5" x14ac:dyDescent="0.25">
      <c r="C651" s="4"/>
      <c r="D651" s="4"/>
      <c r="E651" s="4"/>
      <c r="F651" s="4"/>
    </row>
    <row r="652" spans="3:6" ht="12.5" x14ac:dyDescent="0.25">
      <c r="C652" s="4"/>
      <c r="D652" s="4"/>
      <c r="E652" s="4"/>
      <c r="F652" s="4"/>
    </row>
    <row r="653" spans="3:6" ht="12.5" x14ac:dyDescent="0.25">
      <c r="C653" s="4"/>
      <c r="D653" s="4"/>
      <c r="E653" s="4"/>
      <c r="F653" s="4"/>
    </row>
    <row r="654" spans="3:6" ht="12.5" x14ac:dyDescent="0.25">
      <c r="C654" s="4"/>
      <c r="D654" s="4"/>
      <c r="E654" s="4"/>
      <c r="F654" s="4"/>
    </row>
    <row r="655" spans="3:6" ht="12.5" x14ac:dyDescent="0.25">
      <c r="C655" s="4"/>
      <c r="D655" s="4"/>
      <c r="E655" s="4"/>
      <c r="F655" s="4"/>
    </row>
    <row r="656" spans="3:6" ht="12.5" x14ac:dyDescent="0.25">
      <c r="C656" s="4"/>
      <c r="D656" s="4"/>
      <c r="E656" s="4"/>
      <c r="F656" s="4"/>
    </row>
    <row r="657" spans="3:6" ht="12.5" x14ac:dyDescent="0.25">
      <c r="C657" s="4"/>
      <c r="D657" s="4"/>
      <c r="E657" s="4"/>
      <c r="F657" s="4"/>
    </row>
    <row r="658" spans="3:6" ht="12.5" x14ac:dyDescent="0.25">
      <c r="C658" s="4"/>
      <c r="D658" s="4"/>
      <c r="E658" s="4"/>
      <c r="F658" s="4"/>
    </row>
    <row r="659" spans="3:6" ht="12.5" x14ac:dyDescent="0.25">
      <c r="C659" s="4"/>
      <c r="D659" s="4"/>
      <c r="E659" s="4"/>
      <c r="F659" s="4"/>
    </row>
    <row r="660" spans="3:6" ht="12.5" x14ac:dyDescent="0.25">
      <c r="C660" s="4"/>
      <c r="D660" s="4"/>
      <c r="E660" s="4"/>
      <c r="F660" s="4"/>
    </row>
    <row r="661" spans="3:6" ht="12.5" x14ac:dyDescent="0.25">
      <c r="C661" s="4"/>
      <c r="D661" s="4"/>
      <c r="E661" s="4"/>
      <c r="F661" s="4"/>
    </row>
    <row r="662" spans="3:6" ht="12.5" x14ac:dyDescent="0.25">
      <c r="C662" s="4"/>
      <c r="D662" s="4"/>
      <c r="E662" s="4"/>
      <c r="F662" s="4"/>
    </row>
    <row r="663" spans="3:6" ht="12.5" x14ac:dyDescent="0.25">
      <c r="C663" s="4"/>
      <c r="D663" s="4"/>
      <c r="E663" s="4"/>
      <c r="F663" s="4"/>
    </row>
    <row r="664" spans="3:6" ht="12.5" x14ac:dyDescent="0.25">
      <c r="C664" s="4"/>
      <c r="D664" s="4"/>
      <c r="E664" s="4"/>
      <c r="F664" s="4"/>
    </row>
    <row r="665" spans="3:6" ht="12.5" x14ac:dyDescent="0.25">
      <c r="C665" s="4"/>
      <c r="D665" s="4"/>
      <c r="E665" s="4"/>
      <c r="F665" s="4"/>
    </row>
    <row r="666" spans="3:6" ht="12.5" x14ac:dyDescent="0.25">
      <c r="C666" s="4"/>
      <c r="D666" s="4"/>
      <c r="E666" s="4"/>
      <c r="F666" s="4"/>
    </row>
    <row r="667" spans="3:6" ht="12.5" x14ac:dyDescent="0.25">
      <c r="C667" s="4"/>
      <c r="D667" s="4"/>
      <c r="E667" s="4"/>
      <c r="F667" s="4"/>
    </row>
    <row r="668" spans="3:6" ht="12.5" x14ac:dyDescent="0.25">
      <c r="C668" s="4"/>
      <c r="D668" s="4"/>
      <c r="E668" s="4"/>
      <c r="F668" s="4"/>
    </row>
    <row r="669" spans="3:6" ht="12.5" x14ac:dyDescent="0.25">
      <c r="C669" s="4"/>
      <c r="D669" s="4"/>
      <c r="E669" s="4"/>
      <c r="F669" s="4"/>
    </row>
    <row r="670" spans="3:6" ht="12.5" x14ac:dyDescent="0.25">
      <c r="C670" s="4"/>
      <c r="D670" s="4"/>
      <c r="E670" s="4"/>
      <c r="F670" s="4"/>
    </row>
    <row r="671" spans="3:6" ht="12.5" x14ac:dyDescent="0.25">
      <c r="C671" s="4"/>
      <c r="D671" s="4"/>
      <c r="E671" s="4"/>
      <c r="F671" s="4"/>
    </row>
    <row r="672" spans="3:6" ht="12.5" x14ac:dyDescent="0.25">
      <c r="C672" s="4"/>
      <c r="D672" s="4"/>
      <c r="E672" s="4"/>
      <c r="F672" s="4"/>
    </row>
    <row r="673" spans="3:6" ht="12.5" x14ac:dyDescent="0.25">
      <c r="C673" s="4"/>
      <c r="D673" s="4"/>
      <c r="E673" s="4"/>
      <c r="F673" s="4"/>
    </row>
    <row r="674" spans="3:6" ht="12.5" x14ac:dyDescent="0.25">
      <c r="C674" s="4"/>
      <c r="D674" s="4"/>
      <c r="E674" s="4"/>
      <c r="F674" s="4"/>
    </row>
    <row r="675" spans="3:6" ht="12.5" x14ac:dyDescent="0.25">
      <c r="C675" s="4"/>
      <c r="D675" s="4"/>
      <c r="E675" s="4"/>
      <c r="F675" s="4"/>
    </row>
    <row r="676" spans="3:6" ht="12.5" x14ac:dyDescent="0.25">
      <c r="C676" s="4"/>
      <c r="D676" s="4"/>
      <c r="E676" s="4"/>
      <c r="F676" s="4"/>
    </row>
    <row r="677" spans="3:6" ht="12.5" x14ac:dyDescent="0.25">
      <c r="C677" s="4"/>
      <c r="D677" s="4"/>
      <c r="E677" s="4"/>
      <c r="F677" s="4"/>
    </row>
    <row r="678" spans="3:6" ht="12.5" x14ac:dyDescent="0.25">
      <c r="C678" s="4"/>
      <c r="D678" s="4"/>
      <c r="E678" s="4"/>
      <c r="F678" s="4"/>
    </row>
    <row r="679" spans="3:6" ht="12.5" x14ac:dyDescent="0.25">
      <c r="C679" s="4"/>
      <c r="D679" s="4"/>
      <c r="E679" s="4"/>
      <c r="F679" s="4"/>
    </row>
    <row r="680" spans="3:6" ht="12.5" x14ac:dyDescent="0.25">
      <c r="C680" s="4"/>
      <c r="D680" s="4"/>
      <c r="E680" s="4"/>
      <c r="F680" s="4"/>
    </row>
    <row r="681" spans="3:6" ht="12.5" x14ac:dyDescent="0.25">
      <c r="C681" s="4"/>
      <c r="D681" s="4"/>
      <c r="E681" s="4"/>
      <c r="F681" s="4"/>
    </row>
    <row r="682" spans="3:6" ht="12.5" x14ac:dyDescent="0.25">
      <c r="C682" s="4"/>
      <c r="D682" s="4"/>
      <c r="E682" s="4"/>
      <c r="F682" s="4"/>
    </row>
    <row r="683" spans="3:6" ht="12.5" x14ac:dyDescent="0.25">
      <c r="C683" s="4"/>
      <c r="D683" s="4"/>
      <c r="E683" s="4"/>
      <c r="F683" s="4"/>
    </row>
    <row r="684" spans="3:6" ht="12.5" x14ac:dyDescent="0.25">
      <c r="C684" s="4"/>
      <c r="D684" s="4"/>
      <c r="E684" s="4"/>
      <c r="F684" s="4"/>
    </row>
    <row r="685" spans="3:6" ht="12.5" x14ac:dyDescent="0.25">
      <c r="C685" s="4"/>
      <c r="D685" s="4"/>
      <c r="E685" s="4"/>
      <c r="F685" s="4"/>
    </row>
    <row r="686" spans="3:6" ht="12.5" x14ac:dyDescent="0.25">
      <c r="C686" s="4"/>
      <c r="D686" s="4"/>
      <c r="E686" s="4"/>
      <c r="F686" s="4"/>
    </row>
    <row r="687" spans="3:6" ht="12.5" x14ac:dyDescent="0.25">
      <c r="C687" s="4"/>
      <c r="D687" s="4"/>
      <c r="E687" s="4"/>
      <c r="F687" s="4"/>
    </row>
    <row r="688" spans="3:6" ht="12.5" x14ac:dyDescent="0.25">
      <c r="C688" s="4"/>
      <c r="D688" s="4"/>
      <c r="E688" s="4"/>
      <c r="F688" s="4"/>
    </row>
    <row r="689" spans="3:6" ht="12.5" x14ac:dyDescent="0.25">
      <c r="C689" s="4"/>
      <c r="D689" s="4"/>
      <c r="E689" s="4"/>
      <c r="F689" s="4"/>
    </row>
    <row r="690" spans="3:6" ht="12.5" x14ac:dyDescent="0.25">
      <c r="C690" s="4"/>
      <c r="D690" s="4"/>
      <c r="E690" s="4"/>
      <c r="F690" s="4"/>
    </row>
    <row r="691" spans="3:6" ht="12.5" x14ac:dyDescent="0.25">
      <c r="C691" s="4"/>
      <c r="D691" s="4"/>
      <c r="E691" s="4"/>
      <c r="F691" s="4"/>
    </row>
    <row r="692" spans="3:6" ht="12.5" x14ac:dyDescent="0.25">
      <c r="C692" s="4"/>
      <c r="D692" s="4"/>
      <c r="E692" s="4"/>
      <c r="F692" s="4"/>
    </row>
    <row r="693" spans="3:6" ht="12.5" x14ac:dyDescent="0.25">
      <c r="C693" s="4"/>
      <c r="D693" s="4"/>
      <c r="E693" s="4"/>
      <c r="F693" s="4"/>
    </row>
    <row r="694" spans="3:6" ht="12.5" x14ac:dyDescent="0.25">
      <c r="C694" s="4"/>
      <c r="D694" s="4"/>
      <c r="E694" s="4"/>
      <c r="F694" s="4"/>
    </row>
    <row r="695" spans="3:6" ht="12.5" x14ac:dyDescent="0.25">
      <c r="C695" s="4"/>
      <c r="D695" s="4"/>
      <c r="E695" s="4"/>
      <c r="F695" s="4"/>
    </row>
    <row r="696" spans="3:6" ht="12.5" x14ac:dyDescent="0.25">
      <c r="C696" s="4"/>
      <c r="D696" s="4"/>
      <c r="E696" s="4"/>
      <c r="F696" s="4"/>
    </row>
    <row r="697" spans="3:6" ht="12.5" x14ac:dyDescent="0.25">
      <c r="C697" s="4"/>
      <c r="D697" s="4"/>
      <c r="E697" s="4"/>
      <c r="F697" s="4"/>
    </row>
    <row r="698" spans="3:6" ht="12.5" x14ac:dyDescent="0.25">
      <c r="C698" s="4"/>
      <c r="D698" s="4"/>
      <c r="E698" s="4"/>
      <c r="F698" s="4"/>
    </row>
    <row r="699" spans="3:6" ht="12.5" x14ac:dyDescent="0.25">
      <c r="C699" s="4"/>
      <c r="D699" s="4"/>
      <c r="E699" s="4"/>
      <c r="F699" s="4"/>
    </row>
    <row r="700" spans="3:6" ht="12.5" x14ac:dyDescent="0.25">
      <c r="C700" s="4"/>
      <c r="D700" s="4"/>
      <c r="E700" s="4"/>
      <c r="F700" s="4"/>
    </row>
    <row r="701" spans="3:6" ht="12.5" x14ac:dyDescent="0.25">
      <c r="C701" s="4"/>
      <c r="D701" s="4"/>
      <c r="E701" s="4"/>
      <c r="F701" s="4"/>
    </row>
    <row r="702" spans="3:6" ht="12.5" x14ac:dyDescent="0.25">
      <c r="C702" s="4"/>
      <c r="D702" s="4"/>
      <c r="E702" s="4"/>
      <c r="F702" s="4"/>
    </row>
    <row r="703" spans="3:6" ht="12.5" x14ac:dyDescent="0.25">
      <c r="C703" s="4"/>
      <c r="D703" s="4"/>
      <c r="E703" s="4"/>
      <c r="F703" s="4"/>
    </row>
    <row r="704" spans="3:6" ht="12.5" x14ac:dyDescent="0.25">
      <c r="C704" s="4"/>
      <c r="D704" s="4"/>
      <c r="E704" s="4"/>
      <c r="F704" s="4"/>
    </row>
    <row r="705" spans="3:6" ht="12.5" x14ac:dyDescent="0.25">
      <c r="C705" s="4"/>
      <c r="D705" s="4"/>
      <c r="E705" s="4"/>
      <c r="F705" s="4"/>
    </row>
    <row r="706" spans="3:6" ht="12.5" x14ac:dyDescent="0.25">
      <c r="C706" s="4"/>
      <c r="D706" s="4"/>
      <c r="E706" s="4"/>
      <c r="F706" s="4"/>
    </row>
    <row r="707" spans="3:6" ht="12.5" x14ac:dyDescent="0.25">
      <c r="C707" s="4"/>
      <c r="D707" s="4"/>
      <c r="E707" s="4"/>
      <c r="F707" s="4"/>
    </row>
    <row r="708" spans="3:6" ht="12.5" x14ac:dyDescent="0.25">
      <c r="C708" s="4"/>
      <c r="D708" s="4"/>
      <c r="E708" s="4"/>
      <c r="F708" s="4"/>
    </row>
    <row r="709" spans="3:6" ht="12.5" x14ac:dyDescent="0.25">
      <c r="C709" s="4"/>
      <c r="D709" s="4"/>
      <c r="E709" s="4"/>
      <c r="F709" s="4"/>
    </row>
    <row r="710" spans="3:6" ht="12.5" x14ac:dyDescent="0.25">
      <c r="C710" s="4"/>
      <c r="D710" s="4"/>
      <c r="E710" s="4"/>
      <c r="F710" s="4"/>
    </row>
    <row r="711" spans="3:6" ht="12.5" x14ac:dyDescent="0.25">
      <c r="C711" s="4"/>
      <c r="D711" s="4"/>
      <c r="E711" s="4"/>
      <c r="F711" s="4"/>
    </row>
    <row r="712" spans="3:6" ht="12.5" x14ac:dyDescent="0.25">
      <c r="C712" s="4"/>
      <c r="D712" s="4"/>
      <c r="E712" s="4"/>
      <c r="F712" s="4"/>
    </row>
    <row r="713" spans="3:6" ht="12.5" x14ac:dyDescent="0.25">
      <c r="C713" s="4"/>
      <c r="D713" s="4"/>
      <c r="E713" s="4"/>
      <c r="F713" s="4"/>
    </row>
    <row r="714" spans="3:6" ht="12.5" x14ac:dyDescent="0.25">
      <c r="C714" s="4"/>
      <c r="D714" s="4"/>
      <c r="E714" s="4"/>
      <c r="F714" s="4"/>
    </row>
    <row r="715" spans="3:6" ht="12.5" x14ac:dyDescent="0.25">
      <c r="C715" s="4"/>
      <c r="D715" s="4"/>
      <c r="E715" s="4"/>
      <c r="F715" s="4"/>
    </row>
    <row r="716" spans="3:6" ht="12.5" x14ac:dyDescent="0.25">
      <c r="C716" s="4"/>
      <c r="D716" s="4"/>
      <c r="E716" s="4"/>
      <c r="F716" s="4"/>
    </row>
    <row r="717" spans="3:6" ht="12.5" x14ac:dyDescent="0.25">
      <c r="C717" s="4"/>
      <c r="D717" s="4"/>
      <c r="E717" s="4"/>
      <c r="F717" s="4"/>
    </row>
    <row r="718" spans="3:6" ht="12.5" x14ac:dyDescent="0.25">
      <c r="C718" s="4"/>
      <c r="D718" s="4"/>
      <c r="E718" s="4"/>
      <c r="F718" s="4"/>
    </row>
    <row r="719" spans="3:6" ht="12.5" x14ac:dyDescent="0.25">
      <c r="C719" s="4"/>
      <c r="D719" s="4"/>
      <c r="E719" s="4"/>
      <c r="F719" s="4"/>
    </row>
    <row r="720" spans="3:6" ht="12.5" x14ac:dyDescent="0.25">
      <c r="C720" s="4"/>
      <c r="D720" s="4"/>
      <c r="E720" s="4"/>
      <c r="F720" s="4"/>
    </row>
    <row r="721" spans="3:6" ht="12.5" x14ac:dyDescent="0.25">
      <c r="C721" s="4"/>
      <c r="D721" s="4"/>
      <c r="E721" s="4"/>
      <c r="F721" s="4"/>
    </row>
    <row r="722" spans="3:6" ht="12.5" x14ac:dyDescent="0.25">
      <c r="C722" s="4"/>
      <c r="D722" s="4"/>
      <c r="E722" s="4"/>
      <c r="F722" s="4"/>
    </row>
    <row r="723" spans="3:6" ht="12.5" x14ac:dyDescent="0.25">
      <c r="C723" s="4"/>
      <c r="D723" s="4"/>
      <c r="E723" s="4"/>
      <c r="F723" s="4"/>
    </row>
    <row r="724" spans="3:6" ht="12.5" x14ac:dyDescent="0.25">
      <c r="C724" s="4"/>
      <c r="D724" s="4"/>
      <c r="E724" s="4"/>
      <c r="F724" s="4"/>
    </row>
    <row r="725" spans="3:6" ht="12.5" x14ac:dyDescent="0.25">
      <c r="C725" s="4"/>
      <c r="D725" s="4"/>
      <c r="E725" s="4"/>
      <c r="F725" s="4"/>
    </row>
    <row r="726" spans="3:6" ht="12.5" x14ac:dyDescent="0.25">
      <c r="C726" s="4"/>
      <c r="D726" s="4"/>
      <c r="E726" s="4"/>
      <c r="F726" s="4"/>
    </row>
    <row r="727" spans="3:6" ht="12.5" x14ac:dyDescent="0.25">
      <c r="C727" s="4"/>
      <c r="D727" s="4"/>
      <c r="E727" s="4"/>
      <c r="F727" s="4"/>
    </row>
    <row r="728" spans="3:6" ht="12.5" x14ac:dyDescent="0.25">
      <c r="C728" s="4"/>
      <c r="D728" s="4"/>
      <c r="E728" s="4"/>
      <c r="F728" s="4"/>
    </row>
    <row r="729" spans="3:6" ht="12.5" x14ac:dyDescent="0.25">
      <c r="C729" s="4"/>
      <c r="D729" s="4"/>
      <c r="E729" s="4"/>
      <c r="F729" s="4"/>
    </row>
    <row r="730" spans="3:6" ht="12.5" x14ac:dyDescent="0.25">
      <c r="C730" s="4"/>
      <c r="D730" s="4"/>
      <c r="E730" s="4"/>
      <c r="F730" s="4"/>
    </row>
    <row r="731" spans="3:6" ht="12.5" x14ac:dyDescent="0.25">
      <c r="C731" s="4"/>
      <c r="D731" s="4"/>
      <c r="E731" s="4"/>
      <c r="F731" s="4"/>
    </row>
    <row r="732" spans="3:6" ht="12.5" x14ac:dyDescent="0.25">
      <c r="C732" s="4"/>
      <c r="D732" s="4"/>
      <c r="E732" s="4"/>
      <c r="F732" s="4"/>
    </row>
    <row r="733" spans="3:6" ht="12.5" x14ac:dyDescent="0.25">
      <c r="C733" s="4"/>
      <c r="D733" s="4"/>
      <c r="E733" s="4"/>
      <c r="F733" s="4"/>
    </row>
    <row r="734" spans="3:6" ht="12.5" x14ac:dyDescent="0.25">
      <c r="C734" s="4"/>
      <c r="D734" s="4"/>
      <c r="E734" s="4"/>
      <c r="F734" s="4"/>
    </row>
    <row r="735" spans="3:6" ht="12.5" x14ac:dyDescent="0.25">
      <c r="C735" s="4"/>
      <c r="D735" s="4"/>
      <c r="E735" s="4"/>
      <c r="F735" s="4"/>
    </row>
    <row r="736" spans="3:6" ht="12.5" x14ac:dyDescent="0.25">
      <c r="C736" s="4"/>
      <c r="D736" s="4"/>
      <c r="E736" s="4"/>
      <c r="F736" s="4"/>
    </row>
    <row r="737" spans="3:6" ht="12.5" x14ac:dyDescent="0.25">
      <c r="C737" s="4"/>
      <c r="D737" s="4"/>
      <c r="E737" s="4"/>
      <c r="F737" s="4"/>
    </row>
    <row r="738" spans="3:6" ht="12.5" x14ac:dyDescent="0.25">
      <c r="C738" s="4"/>
      <c r="D738" s="4"/>
      <c r="E738" s="4"/>
      <c r="F738" s="4"/>
    </row>
    <row r="739" spans="3:6" ht="12.5" x14ac:dyDescent="0.25">
      <c r="C739" s="4"/>
      <c r="D739" s="4"/>
      <c r="E739" s="4"/>
      <c r="F739" s="4"/>
    </row>
    <row r="740" spans="3:6" ht="12.5" x14ac:dyDescent="0.25">
      <c r="C740" s="4"/>
      <c r="D740" s="4"/>
      <c r="E740" s="4"/>
      <c r="F740" s="4"/>
    </row>
    <row r="741" spans="3:6" ht="12.5" x14ac:dyDescent="0.25">
      <c r="C741" s="4"/>
      <c r="D741" s="4"/>
      <c r="E741" s="4"/>
      <c r="F741" s="4"/>
    </row>
    <row r="742" spans="3:6" ht="12.5" x14ac:dyDescent="0.25">
      <c r="C742" s="4"/>
      <c r="D742" s="4"/>
      <c r="E742" s="4"/>
      <c r="F742" s="4"/>
    </row>
    <row r="743" spans="3:6" ht="12.5" x14ac:dyDescent="0.25">
      <c r="C743" s="4"/>
      <c r="D743" s="4"/>
      <c r="E743" s="4"/>
      <c r="F743" s="4"/>
    </row>
    <row r="744" spans="3:6" ht="12.5" x14ac:dyDescent="0.25">
      <c r="C744" s="4"/>
      <c r="D744" s="4"/>
      <c r="E744" s="4"/>
      <c r="F744" s="4"/>
    </row>
    <row r="745" spans="3:6" ht="12.5" x14ac:dyDescent="0.25">
      <c r="C745" s="4"/>
      <c r="D745" s="4"/>
      <c r="E745" s="4"/>
      <c r="F745" s="4"/>
    </row>
    <row r="746" spans="3:6" ht="12.5" x14ac:dyDescent="0.25">
      <c r="C746" s="4"/>
      <c r="D746" s="4"/>
      <c r="E746" s="4"/>
      <c r="F746" s="4"/>
    </row>
    <row r="747" spans="3:6" ht="12.5" x14ac:dyDescent="0.25">
      <c r="C747" s="4"/>
      <c r="D747" s="4"/>
      <c r="E747" s="4"/>
      <c r="F747" s="4"/>
    </row>
    <row r="748" spans="3:6" ht="12.5" x14ac:dyDescent="0.25">
      <c r="C748" s="4"/>
      <c r="D748" s="4"/>
      <c r="E748" s="4"/>
      <c r="F748" s="4"/>
    </row>
    <row r="749" spans="3:6" ht="12.5" x14ac:dyDescent="0.25">
      <c r="C749" s="4"/>
      <c r="D749" s="4"/>
      <c r="E749" s="4"/>
      <c r="F749" s="4"/>
    </row>
    <row r="750" spans="3:6" ht="12.5" x14ac:dyDescent="0.25">
      <c r="C750" s="4"/>
      <c r="D750" s="4"/>
      <c r="E750" s="4"/>
      <c r="F750" s="4"/>
    </row>
    <row r="751" spans="3:6" ht="12.5" x14ac:dyDescent="0.25">
      <c r="C751" s="4"/>
      <c r="D751" s="4"/>
      <c r="E751" s="4"/>
      <c r="F751" s="4"/>
    </row>
    <row r="752" spans="3:6" ht="12.5" x14ac:dyDescent="0.25">
      <c r="C752" s="4"/>
      <c r="D752" s="4"/>
      <c r="E752" s="4"/>
      <c r="F752" s="4"/>
    </row>
    <row r="753" spans="3:6" ht="12.5" x14ac:dyDescent="0.25">
      <c r="C753" s="4"/>
      <c r="D753" s="4"/>
      <c r="E753" s="4"/>
      <c r="F753" s="4"/>
    </row>
    <row r="754" spans="3:6" ht="12.5" x14ac:dyDescent="0.25">
      <c r="C754" s="4"/>
      <c r="D754" s="4"/>
      <c r="E754" s="4"/>
      <c r="F754" s="4"/>
    </row>
    <row r="755" spans="3:6" ht="12.5" x14ac:dyDescent="0.25">
      <c r="C755" s="4"/>
      <c r="D755" s="4"/>
      <c r="E755" s="4"/>
      <c r="F755" s="4"/>
    </row>
    <row r="756" spans="3:6" ht="12.5" x14ac:dyDescent="0.25">
      <c r="C756" s="4"/>
      <c r="D756" s="4"/>
      <c r="E756" s="4"/>
      <c r="F756" s="4"/>
    </row>
    <row r="757" spans="3:6" ht="12.5" x14ac:dyDescent="0.25">
      <c r="C757" s="4"/>
      <c r="D757" s="4"/>
      <c r="E757" s="4"/>
      <c r="F757" s="4"/>
    </row>
    <row r="758" spans="3:6" ht="12.5" x14ac:dyDescent="0.25">
      <c r="C758" s="4"/>
      <c r="D758" s="4"/>
      <c r="E758" s="4"/>
      <c r="F758" s="4"/>
    </row>
    <row r="759" spans="3:6" ht="12.5" x14ac:dyDescent="0.25">
      <c r="C759" s="4"/>
      <c r="D759" s="4"/>
      <c r="E759" s="4"/>
      <c r="F759" s="4"/>
    </row>
    <row r="760" spans="3:6" ht="12.5" x14ac:dyDescent="0.25">
      <c r="C760" s="4"/>
      <c r="D760" s="4"/>
      <c r="E760" s="4"/>
      <c r="F760" s="4"/>
    </row>
    <row r="761" spans="3:6" ht="12.5" x14ac:dyDescent="0.25">
      <c r="C761" s="4"/>
      <c r="D761" s="4"/>
      <c r="E761" s="4"/>
      <c r="F761" s="4"/>
    </row>
    <row r="762" spans="3:6" ht="12.5" x14ac:dyDescent="0.25">
      <c r="C762" s="4"/>
      <c r="D762" s="4"/>
      <c r="E762" s="4"/>
      <c r="F762" s="4"/>
    </row>
    <row r="763" spans="3:6" ht="12.5" x14ac:dyDescent="0.25">
      <c r="C763" s="4"/>
      <c r="D763" s="4"/>
      <c r="E763" s="4"/>
      <c r="F763" s="4"/>
    </row>
    <row r="764" spans="3:6" ht="12.5" x14ac:dyDescent="0.25">
      <c r="C764" s="4"/>
      <c r="D764" s="4"/>
      <c r="E764" s="4"/>
      <c r="F764" s="4"/>
    </row>
    <row r="765" spans="3:6" ht="12.5" x14ac:dyDescent="0.25">
      <c r="C765" s="4"/>
      <c r="D765" s="4"/>
      <c r="E765" s="4"/>
      <c r="F765" s="4"/>
    </row>
    <row r="766" spans="3:6" ht="12.5" x14ac:dyDescent="0.25">
      <c r="C766" s="4"/>
      <c r="D766" s="4"/>
      <c r="E766" s="4"/>
      <c r="F766" s="4"/>
    </row>
    <row r="767" spans="3:6" ht="12.5" x14ac:dyDescent="0.25">
      <c r="C767" s="4"/>
      <c r="D767" s="4"/>
      <c r="E767" s="4"/>
      <c r="F767" s="4"/>
    </row>
    <row r="768" spans="3:6" ht="12.5" x14ac:dyDescent="0.25">
      <c r="C768" s="4"/>
      <c r="D768" s="4"/>
      <c r="E768" s="4"/>
      <c r="F768" s="4"/>
    </row>
    <row r="769" spans="3:6" ht="12.5" x14ac:dyDescent="0.25">
      <c r="C769" s="4"/>
      <c r="D769" s="4"/>
      <c r="E769" s="4"/>
      <c r="F769" s="4"/>
    </row>
    <row r="770" spans="3:6" ht="12.5" x14ac:dyDescent="0.25">
      <c r="C770" s="4"/>
      <c r="D770" s="4"/>
      <c r="E770" s="4"/>
      <c r="F770" s="4"/>
    </row>
    <row r="771" spans="3:6" ht="12.5" x14ac:dyDescent="0.25">
      <c r="C771" s="4"/>
      <c r="D771" s="4"/>
      <c r="E771" s="4"/>
      <c r="F771" s="4"/>
    </row>
    <row r="772" spans="3:6" ht="12.5" x14ac:dyDescent="0.25">
      <c r="C772" s="4"/>
      <c r="D772" s="4"/>
      <c r="E772" s="4"/>
      <c r="F772" s="4"/>
    </row>
    <row r="773" spans="3:6" ht="12.5" x14ac:dyDescent="0.25">
      <c r="C773" s="4"/>
      <c r="D773" s="4"/>
      <c r="E773" s="4"/>
      <c r="F773" s="4"/>
    </row>
    <row r="774" spans="3:6" ht="12.5" x14ac:dyDescent="0.25">
      <c r="C774" s="4"/>
      <c r="D774" s="4"/>
      <c r="E774" s="4"/>
      <c r="F774" s="4"/>
    </row>
    <row r="775" spans="3:6" ht="12.5" x14ac:dyDescent="0.25">
      <c r="C775" s="4"/>
      <c r="D775" s="4"/>
      <c r="E775" s="4"/>
      <c r="F775" s="4"/>
    </row>
    <row r="776" spans="3:6" ht="12.5" x14ac:dyDescent="0.25">
      <c r="C776" s="4"/>
      <c r="D776" s="4"/>
      <c r="E776" s="4"/>
      <c r="F776" s="4"/>
    </row>
    <row r="777" spans="3:6" ht="12.5" x14ac:dyDescent="0.25">
      <c r="C777" s="4"/>
      <c r="D777" s="4"/>
      <c r="E777" s="4"/>
      <c r="F777" s="4"/>
    </row>
    <row r="778" spans="3:6" ht="12.5" x14ac:dyDescent="0.25">
      <c r="C778" s="4"/>
      <c r="D778" s="4"/>
      <c r="E778" s="4"/>
      <c r="F778" s="4"/>
    </row>
    <row r="779" spans="3:6" ht="12.5" x14ac:dyDescent="0.25">
      <c r="C779" s="4"/>
      <c r="D779" s="4"/>
      <c r="E779" s="4"/>
      <c r="F779" s="4"/>
    </row>
    <row r="780" spans="3:6" ht="12.5" x14ac:dyDescent="0.25">
      <c r="C780" s="4"/>
      <c r="D780" s="4"/>
      <c r="E780" s="4"/>
      <c r="F780" s="4"/>
    </row>
    <row r="781" spans="3:6" ht="12.5" x14ac:dyDescent="0.25">
      <c r="C781" s="4"/>
      <c r="D781" s="4"/>
      <c r="E781" s="4"/>
      <c r="F781" s="4"/>
    </row>
    <row r="782" spans="3:6" ht="12.5" x14ac:dyDescent="0.25">
      <c r="C782" s="4"/>
      <c r="D782" s="4"/>
      <c r="E782" s="4"/>
      <c r="F782" s="4"/>
    </row>
    <row r="783" spans="3:6" ht="12.5" x14ac:dyDescent="0.25">
      <c r="C783" s="4"/>
      <c r="D783" s="4"/>
      <c r="E783" s="4"/>
      <c r="F783" s="4"/>
    </row>
    <row r="784" spans="3:6" ht="12.5" x14ac:dyDescent="0.25">
      <c r="C784" s="4"/>
      <c r="D784" s="4"/>
      <c r="E784" s="4"/>
      <c r="F784" s="4"/>
    </row>
    <row r="785" spans="3:6" ht="12.5" x14ac:dyDescent="0.25">
      <c r="C785" s="4"/>
      <c r="D785" s="4"/>
      <c r="E785" s="4"/>
      <c r="F785" s="4"/>
    </row>
    <row r="786" spans="3:6" ht="12.5" x14ac:dyDescent="0.25">
      <c r="C786" s="4"/>
      <c r="D786" s="4"/>
      <c r="E786" s="4"/>
      <c r="F786" s="4"/>
    </row>
    <row r="787" spans="3:6" ht="12.5" x14ac:dyDescent="0.25">
      <c r="C787" s="4"/>
      <c r="D787" s="4"/>
      <c r="E787" s="4"/>
      <c r="F787" s="4"/>
    </row>
    <row r="788" spans="3:6" ht="12.5" x14ac:dyDescent="0.25">
      <c r="C788" s="4"/>
      <c r="D788" s="4"/>
      <c r="E788" s="4"/>
      <c r="F788" s="4"/>
    </row>
    <row r="789" spans="3:6" ht="12.5" x14ac:dyDescent="0.25">
      <c r="C789" s="4"/>
      <c r="D789" s="4"/>
      <c r="E789" s="4"/>
      <c r="F789" s="4"/>
    </row>
    <row r="790" spans="3:6" ht="12.5" x14ac:dyDescent="0.25">
      <c r="C790" s="4"/>
      <c r="D790" s="4"/>
      <c r="E790" s="4"/>
      <c r="F790" s="4"/>
    </row>
    <row r="791" spans="3:6" ht="12.5" x14ac:dyDescent="0.25">
      <c r="C791" s="4"/>
      <c r="D791" s="4"/>
      <c r="E791" s="4"/>
      <c r="F791" s="4"/>
    </row>
    <row r="792" spans="3:6" ht="12.5" x14ac:dyDescent="0.25">
      <c r="C792" s="4"/>
      <c r="D792" s="4"/>
      <c r="E792" s="4"/>
      <c r="F792" s="4"/>
    </row>
    <row r="793" spans="3:6" ht="12.5" x14ac:dyDescent="0.25">
      <c r="C793" s="4"/>
      <c r="D793" s="4"/>
      <c r="E793" s="4"/>
      <c r="F793" s="4"/>
    </row>
    <row r="794" spans="3:6" ht="12.5" x14ac:dyDescent="0.25">
      <c r="C794" s="4"/>
      <c r="D794" s="4"/>
      <c r="E794" s="4"/>
      <c r="F794" s="4"/>
    </row>
    <row r="795" spans="3:6" ht="12.5" x14ac:dyDescent="0.25">
      <c r="C795" s="4"/>
      <c r="D795" s="4"/>
      <c r="E795" s="4"/>
      <c r="F795" s="4"/>
    </row>
    <row r="796" spans="3:6" ht="12.5" x14ac:dyDescent="0.25">
      <c r="C796" s="4"/>
      <c r="D796" s="4"/>
      <c r="E796" s="4"/>
      <c r="F796" s="4"/>
    </row>
    <row r="797" spans="3:6" ht="12.5" x14ac:dyDescent="0.25">
      <c r="C797" s="4"/>
      <c r="D797" s="4"/>
      <c r="E797" s="4"/>
      <c r="F797" s="4"/>
    </row>
    <row r="798" spans="3:6" ht="12.5" x14ac:dyDescent="0.25">
      <c r="C798" s="4"/>
      <c r="D798" s="4"/>
      <c r="E798" s="4"/>
      <c r="F798" s="4"/>
    </row>
    <row r="799" spans="3:6" ht="12.5" x14ac:dyDescent="0.25">
      <c r="C799" s="4"/>
      <c r="D799" s="4"/>
      <c r="E799" s="4"/>
      <c r="F799" s="4"/>
    </row>
    <row r="800" spans="3:6" ht="12.5" x14ac:dyDescent="0.25">
      <c r="C800" s="4"/>
      <c r="D800" s="4"/>
      <c r="E800" s="4"/>
      <c r="F800" s="4"/>
    </row>
    <row r="801" spans="3:6" ht="12.5" x14ac:dyDescent="0.25">
      <c r="C801" s="4"/>
      <c r="D801" s="4"/>
      <c r="E801" s="4"/>
      <c r="F801" s="4"/>
    </row>
    <row r="802" spans="3:6" ht="12.5" x14ac:dyDescent="0.25">
      <c r="C802" s="4"/>
      <c r="D802" s="4"/>
      <c r="E802" s="4"/>
      <c r="F802" s="4"/>
    </row>
    <row r="803" spans="3:6" ht="12.5" x14ac:dyDescent="0.25">
      <c r="C803" s="4"/>
      <c r="D803" s="4"/>
      <c r="E803" s="4"/>
      <c r="F803" s="4"/>
    </row>
    <row r="804" spans="3:6" ht="12.5" x14ac:dyDescent="0.25">
      <c r="C804" s="4"/>
      <c r="D804" s="4"/>
      <c r="E804" s="4"/>
      <c r="F804" s="4"/>
    </row>
    <row r="805" spans="3:6" ht="12.5" x14ac:dyDescent="0.25">
      <c r="C805" s="4"/>
      <c r="D805" s="4"/>
      <c r="E805" s="4"/>
      <c r="F805" s="4"/>
    </row>
    <row r="806" spans="3:6" ht="12.5" x14ac:dyDescent="0.25">
      <c r="C806" s="4"/>
      <c r="D806" s="4"/>
      <c r="E806" s="4"/>
      <c r="F806" s="4"/>
    </row>
    <row r="807" spans="3:6" ht="12.5" x14ac:dyDescent="0.25">
      <c r="C807" s="4"/>
      <c r="D807" s="4"/>
      <c r="E807" s="4"/>
      <c r="F807" s="4"/>
    </row>
    <row r="808" spans="3:6" ht="12.5" x14ac:dyDescent="0.25">
      <c r="C808" s="4"/>
      <c r="D808" s="4"/>
      <c r="E808" s="4"/>
      <c r="F808" s="4"/>
    </row>
    <row r="809" spans="3:6" ht="12.5" x14ac:dyDescent="0.25">
      <c r="C809" s="4"/>
      <c r="D809" s="4"/>
      <c r="E809" s="4"/>
      <c r="F809" s="4"/>
    </row>
    <row r="810" spans="3:6" ht="12.5" x14ac:dyDescent="0.25">
      <c r="C810" s="4"/>
      <c r="D810" s="4"/>
      <c r="E810" s="4"/>
      <c r="F810" s="4"/>
    </row>
    <row r="811" spans="3:6" ht="12.5" x14ac:dyDescent="0.25">
      <c r="C811" s="4"/>
      <c r="D811" s="4"/>
      <c r="E811" s="4"/>
      <c r="F811" s="4"/>
    </row>
    <row r="812" spans="3:6" ht="12.5" x14ac:dyDescent="0.25">
      <c r="C812" s="4"/>
      <c r="D812" s="4"/>
      <c r="E812" s="4"/>
      <c r="F812" s="4"/>
    </row>
    <row r="813" spans="3:6" ht="12.5" x14ac:dyDescent="0.25">
      <c r="C813" s="4"/>
      <c r="D813" s="4"/>
      <c r="E813" s="4"/>
      <c r="F813" s="4"/>
    </row>
    <row r="814" spans="3:6" ht="12.5" x14ac:dyDescent="0.25">
      <c r="C814" s="4"/>
      <c r="D814" s="4"/>
      <c r="E814" s="4"/>
      <c r="F814" s="4"/>
    </row>
    <row r="815" spans="3:6" ht="12.5" x14ac:dyDescent="0.25">
      <c r="C815" s="4"/>
      <c r="D815" s="4"/>
      <c r="E815" s="4"/>
      <c r="F815" s="4"/>
    </row>
    <row r="816" spans="3:6" ht="12.5" x14ac:dyDescent="0.25">
      <c r="C816" s="4"/>
      <c r="D816" s="4"/>
      <c r="E816" s="4"/>
      <c r="F816" s="4"/>
    </row>
    <row r="817" spans="3:6" ht="12.5" x14ac:dyDescent="0.25">
      <c r="C817" s="4"/>
      <c r="D817" s="4"/>
      <c r="E817" s="4"/>
      <c r="F817" s="4"/>
    </row>
    <row r="818" spans="3:6" ht="12.5" x14ac:dyDescent="0.25">
      <c r="C818" s="4"/>
      <c r="D818" s="4"/>
      <c r="E818" s="4"/>
      <c r="F818" s="4"/>
    </row>
    <row r="819" spans="3:6" ht="12.5" x14ac:dyDescent="0.25">
      <c r="C819" s="4"/>
      <c r="D819" s="4"/>
      <c r="E819" s="4"/>
      <c r="F819" s="4"/>
    </row>
    <row r="820" spans="3:6" ht="12.5" x14ac:dyDescent="0.25">
      <c r="C820" s="4"/>
      <c r="D820" s="4"/>
      <c r="E820" s="4"/>
      <c r="F820" s="4"/>
    </row>
    <row r="821" spans="3:6" ht="12.5" x14ac:dyDescent="0.25">
      <c r="C821" s="4"/>
      <c r="D821" s="4"/>
      <c r="E821" s="4"/>
      <c r="F821" s="4"/>
    </row>
    <row r="822" spans="3:6" ht="12.5" x14ac:dyDescent="0.25">
      <c r="C822" s="4"/>
      <c r="D822" s="4"/>
      <c r="E822" s="4"/>
      <c r="F822" s="4"/>
    </row>
    <row r="823" spans="3:6" ht="12.5" x14ac:dyDescent="0.25">
      <c r="C823" s="4"/>
      <c r="D823" s="4"/>
      <c r="E823" s="4"/>
      <c r="F823" s="4"/>
    </row>
    <row r="824" spans="3:6" ht="12.5" x14ac:dyDescent="0.25">
      <c r="C824" s="4"/>
      <c r="D824" s="4"/>
      <c r="E824" s="4"/>
      <c r="F824" s="4"/>
    </row>
    <row r="825" spans="3:6" ht="12.5" x14ac:dyDescent="0.25">
      <c r="C825" s="4"/>
      <c r="D825" s="4"/>
      <c r="E825" s="4"/>
      <c r="F825" s="4"/>
    </row>
    <row r="826" spans="3:6" ht="12.5" x14ac:dyDescent="0.25">
      <c r="C826" s="4"/>
      <c r="D826" s="4"/>
      <c r="E826" s="4"/>
      <c r="F826" s="4"/>
    </row>
    <row r="827" spans="3:6" ht="12.5" x14ac:dyDescent="0.25">
      <c r="C827" s="4"/>
      <c r="D827" s="4"/>
      <c r="E827" s="4"/>
      <c r="F827" s="4"/>
    </row>
    <row r="828" spans="3:6" ht="12.5" x14ac:dyDescent="0.25">
      <c r="C828" s="4"/>
      <c r="D828" s="4"/>
      <c r="E828" s="4"/>
      <c r="F828" s="4"/>
    </row>
    <row r="829" spans="3:6" ht="12.5" x14ac:dyDescent="0.25">
      <c r="C829" s="4"/>
      <c r="D829" s="4"/>
      <c r="E829" s="4"/>
      <c r="F829" s="4"/>
    </row>
    <row r="830" spans="3:6" ht="12.5" x14ac:dyDescent="0.25">
      <c r="C830" s="4"/>
      <c r="D830" s="4"/>
      <c r="E830" s="4"/>
      <c r="F830" s="4"/>
    </row>
    <row r="831" spans="3:6" ht="12.5" x14ac:dyDescent="0.25">
      <c r="C831" s="4"/>
      <c r="D831" s="4"/>
      <c r="E831" s="4"/>
      <c r="F831" s="4"/>
    </row>
    <row r="832" spans="3:6" ht="12.5" x14ac:dyDescent="0.25">
      <c r="C832" s="4"/>
      <c r="D832" s="4"/>
      <c r="E832" s="4"/>
      <c r="F832" s="4"/>
    </row>
    <row r="833" spans="3:6" ht="12.5" x14ac:dyDescent="0.25">
      <c r="C833" s="4"/>
      <c r="D833" s="4"/>
      <c r="E833" s="4"/>
      <c r="F833" s="4"/>
    </row>
    <row r="834" spans="3:6" ht="12.5" x14ac:dyDescent="0.25">
      <c r="C834" s="4"/>
      <c r="D834" s="4"/>
      <c r="E834" s="4"/>
      <c r="F834" s="4"/>
    </row>
    <row r="835" spans="3:6" ht="12.5" x14ac:dyDescent="0.25">
      <c r="C835" s="4"/>
      <c r="D835" s="4"/>
      <c r="E835" s="4"/>
      <c r="F835" s="4"/>
    </row>
    <row r="836" spans="3:6" ht="12.5" x14ac:dyDescent="0.25">
      <c r="C836" s="4"/>
      <c r="D836" s="4"/>
      <c r="E836" s="4"/>
      <c r="F836" s="4"/>
    </row>
    <row r="837" spans="3:6" ht="12.5" x14ac:dyDescent="0.25">
      <c r="C837" s="4"/>
      <c r="D837" s="4"/>
      <c r="E837" s="4"/>
      <c r="F837" s="4"/>
    </row>
    <row r="838" spans="3:6" ht="12.5" x14ac:dyDescent="0.25">
      <c r="C838" s="4"/>
      <c r="D838" s="4"/>
      <c r="E838" s="4"/>
      <c r="F838" s="4"/>
    </row>
    <row r="839" spans="3:6" ht="12.5" x14ac:dyDescent="0.25">
      <c r="C839" s="4"/>
      <c r="D839" s="4"/>
      <c r="E839" s="4"/>
      <c r="F839" s="4"/>
    </row>
    <row r="840" spans="3:6" ht="12.5" x14ac:dyDescent="0.25">
      <c r="C840" s="4"/>
      <c r="D840" s="4"/>
      <c r="E840" s="4"/>
      <c r="F840" s="4"/>
    </row>
    <row r="841" spans="3:6" ht="12.5" x14ac:dyDescent="0.25">
      <c r="C841" s="4"/>
      <c r="D841" s="4"/>
      <c r="E841" s="4"/>
      <c r="F841" s="4"/>
    </row>
    <row r="842" spans="3:6" ht="12.5" x14ac:dyDescent="0.25">
      <c r="C842" s="4"/>
      <c r="D842" s="4"/>
      <c r="E842" s="4"/>
      <c r="F842" s="4"/>
    </row>
    <row r="843" spans="3:6" ht="12.5" x14ac:dyDescent="0.25">
      <c r="C843" s="4"/>
      <c r="D843" s="4"/>
      <c r="E843" s="4"/>
      <c r="F843" s="4"/>
    </row>
    <row r="844" spans="3:6" ht="12.5" x14ac:dyDescent="0.25">
      <c r="C844" s="4"/>
      <c r="D844" s="4"/>
      <c r="E844" s="4"/>
      <c r="F844" s="4"/>
    </row>
    <row r="845" spans="3:6" ht="12.5" x14ac:dyDescent="0.25">
      <c r="C845" s="4"/>
      <c r="D845" s="4"/>
      <c r="E845" s="4"/>
      <c r="F845" s="4"/>
    </row>
    <row r="846" spans="3:6" ht="12.5" x14ac:dyDescent="0.25">
      <c r="C846" s="4"/>
      <c r="D846" s="4"/>
      <c r="E846" s="4"/>
      <c r="F846" s="4"/>
    </row>
    <row r="847" spans="3:6" ht="12.5" x14ac:dyDescent="0.25">
      <c r="C847" s="4"/>
      <c r="D847" s="4"/>
      <c r="E847" s="4"/>
      <c r="F847" s="4"/>
    </row>
    <row r="848" spans="3:6" ht="12.5" x14ac:dyDescent="0.25">
      <c r="C848" s="4"/>
      <c r="D848" s="4"/>
      <c r="E848" s="4"/>
      <c r="F848" s="4"/>
    </row>
    <row r="849" spans="3:6" ht="12.5" x14ac:dyDescent="0.25">
      <c r="C849" s="4"/>
      <c r="D849" s="4"/>
      <c r="E849" s="4"/>
      <c r="F849" s="4"/>
    </row>
    <row r="850" spans="3:6" ht="12.5" x14ac:dyDescent="0.25">
      <c r="C850" s="4"/>
      <c r="D850" s="4"/>
      <c r="E850" s="4"/>
      <c r="F850" s="4"/>
    </row>
    <row r="851" spans="3:6" ht="12.5" x14ac:dyDescent="0.25">
      <c r="C851" s="4"/>
      <c r="D851" s="4"/>
      <c r="E851" s="4"/>
      <c r="F851" s="4"/>
    </row>
    <row r="852" spans="3:6" ht="12.5" x14ac:dyDescent="0.25">
      <c r="C852" s="4"/>
      <c r="D852" s="4"/>
      <c r="E852" s="4"/>
      <c r="F852" s="4"/>
    </row>
    <row r="853" spans="3:6" ht="12.5" x14ac:dyDescent="0.25">
      <c r="C853" s="4"/>
      <c r="D853" s="4"/>
      <c r="E853" s="4"/>
      <c r="F853" s="4"/>
    </row>
    <row r="854" spans="3:6" ht="12.5" x14ac:dyDescent="0.25">
      <c r="C854" s="4"/>
      <c r="D854" s="4"/>
      <c r="E854" s="4"/>
      <c r="F854" s="4"/>
    </row>
    <row r="855" spans="3:6" ht="12.5" x14ac:dyDescent="0.25">
      <c r="C855" s="4"/>
      <c r="D855" s="4"/>
      <c r="E855" s="4"/>
      <c r="F855" s="4"/>
    </row>
    <row r="856" spans="3:6" ht="12.5" x14ac:dyDescent="0.25">
      <c r="C856" s="4"/>
      <c r="D856" s="4"/>
      <c r="E856" s="4"/>
      <c r="F856" s="4"/>
    </row>
    <row r="857" spans="3:6" ht="12.5" x14ac:dyDescent="0.25">
      <c r="C857" s="4"/>
      <c r="D857" s="4"/>
      <c r="E857" s="4"/>
      <c r="F857" s="4"/>
    </row>
    <row r="858" spans="3:6" ht="12.5" x14ac:dyDescent="0.25">
      <c r="C858" s="4"/>
      <c r="D858" s="4"/>
      <c r="E858" s="4"/>
      <c r="F858" s="4"/>
    </row>
    <row r="859" spans="3:6" ht="12.5" x14ac:dyDescent="0.25">
      <c r="C859" s="4"/>
      <c r="D859" s="4"/>
      <c r="E859" s="4"/>
      <c r="F859" s="4"/>
    </row>
    <row r="860" spans="3:6" ht="12.5" x14ac:dyDescent="0.25">
      <c r="C860" s="4"/>
      <c r="D860" s="4"/>
      <c r="E860" s="4"/>
      <c r="F860" s="4"/>
    </row>
    <row r="861" spans="3:6" ht="12.5" x14ac:dyDescent="0.25">
      <c r="C861" s="4"/>
      <c r="D861" s="4"/>
      <c r="E861" s="4"/>
      <c r="F861" s="4"/>
    </row>
    <row r="862" spans="3:6" ht="12.5" x14ac:dyDescent="0.25">
      <c r="C862" s="4"/>
      <c r="D862" s="4"/>
      <c r="E862" s="4"/>
      <c r="F862" s="4"/>
    </row>
    <row r="863" spans="3:6" ht="12.5" x14ac:dyDescent="0.25">
      <c r="C863" s="4"/>
      <c r="D863" s="4"/>
      <c r="E863" s="4"/>
      <c r="F863" s="4"/>
    </row>
    <row r="864" spans="3:6" ht="12.5" x14ac:dyDescent="0.25">
      <c r="C864" s="4"/>
      <c r="D864" s="4"/>
      <c r="E864" s="4"/>
      <c r="F864" s="4"/>
    </row>
    <row r="865" spans="3:6" ht="12.5" x14ac:dyDescent="0.25">
      <c r="C865" s="4"/>
      <c r="D865" s="4"/>
      <c r="E865" s="4"/>
      <c r="F865" s="4"/>
    </row>
    <row r="866" spans="3:6" ht="12.5" x14ac:dyDescent="0.25">
      <c r="C866" s="4"/>
      <c r="D866" s="4"/>
      <c r="E866" s="4"/>
      <c r="F866" s="4"/>
    </row>
    <row r="867" spans="3:6" ht="12.5" x14ac:dyDescent="0.25">
      <c r="C867" s="4"/>
      <c r="D867" s="4"/>
      <c r="E867" s="4"/>
      <c r="F867" s="4"/>
    </row>
    <row r="868" spans="3:6" ht="12.5" x14ac:dyDescent="0.25">
      <c r="C868" s="4"/>
      <c r="D868" s="4"/>
      <c r="E868" s="4"/>
      <c r="F868" s="4"/>
    </row>
    <row r="869" spans="3:6" ht="12.5" x14ac:dyDescent="0.25">
      <c r="C869" s="4"/>
      <c r="D869" s="4"/>
      <c r="E869" s="4"/>
      <c r="F869" s="4"/>
    </row>
    <row r="870" spans="3:6" ht="12.5" x14ac:dyDescent="0.25">
      <c r="C870" s="4"/>
      <c r="D870" s="4"/>
      <c r="E870" s="4"/>
      <c r="F870" s="4"/>
    </row>
    <row r="871" spans="3:6" ht="12.5" x14ac:dyDescent="0.25">
      <c r="C871" s="4"/>
      <c r="D871" s="4"/>
      <c r="E871" s="4"/>
      <c r="F871" s="4"/>
    </row>
    <row r="872" spans="3:6" ht="12.5" x14ac:dyDescent="0.25">
      <c r="C872" s="4"/>
      <c r="D872" s="4"/>
      <c r="E872" s="4"/>
      <c r="F872" s="4"/>
    </row>
    <row r="873" spans="3:6" ht="12.5" x14ac:dyDescent="0.25">
      <c r="C873" s="4"/>
      <c r="D873" s="4"/>
      <c r="E873" s="4"/>
      <c r="F873" s="4"/>
    </row>
    <row r="874" spans="3:6" ht="12.5" x14ac:dyDescent="0.25">
      <c r="C874" s="4"/>
      <c r="D874" s="4"/>
      <c r="E874" s="4"/>
      <c r="F874" s="4"/>
    </row>
    <row r="875" spans="3:6" ht="12.5" x14ac:dyDescent="0.25">
      <c r="C875" s="4"/>
      <c r="D875" s="4"/>
      <c r="E875" s="4"/>
      <c r="F875" s="4"/>
    </row>
    <row r="876" spans="3:6" ht="12.5" x14ac:dyDescent="0.25">
      <c r="C876" s="4"/>
      <c r="D876" s="4"/>
      <c r="E876" s="4"/>
      <c r="F876" s="4"/>
    </row>
    <row r="877" spans="3:6" ht="12.5" x14ac:dyDescent="0.25">
      <c r="C877" s="4"/>
      <c r="D877" s="4"/>
      <c r="E877" s="4"/>
      <c r="F877" s="4"/>
    </row>
    <row r="878" spans="3:6" ht="12.5" x14ac:dyDescent="0.25">
      <c r="C878" s="4"/>
      <c r="D878" s="4"/>
      <c r="E878" s="4"/>
      <c r="F878" s="4"/>
    </row>
    <row r="879" spans="3:6" ht="12.5" x14ac:dyDescent="0.25">
      <c r="C879" s="4"/>
      <c r="D879" s="4"/>
      <c r="E879" s="4"/>
      <c r="F879" s="4"/>
    </row>
    <row r="880" spans="3:6" ht="12.5" x14ac:dyDescent="0.25">
      <c r="C880" s="4"/>
      <c r="D880" s="4"/>
      <c r="E880" s="4"/>
      <c r="F880" s="4"/>
    </row>
    <row r="881" spans="3:6" ht="12.5" x14ac:dyDescent="0.25">
      <c r="C881" s="4"/>
      <c r="D881" s="4"/>
      <c r="E881" s="4"/>
      <c r="F881" s="4"/>
    </row>
    <row r="882" spans="3:6" ht="12.5" x14ac:dyDescent="0.25">
      <c r="C882" s="4"/>
      <c r="D882" s="4"/>
      <c r="E882" s="4"/>
      <c r="F882" s="4"/>
    </row>
    <row r="883" spans="3:6" ht="12.5" x14ac:dyDescent="0.25">
      <c r="C883" s="4"/>
      <c r="D883" s="4"/>
      <c r="E883" s="4"/>
      <c r="F883" s="4"/>
    </row>
    <row r="884" spans="3:6" ht="12.5" x14ac:dyDescent="0.25">
      <c r="C884" s="4"/>
      <c r="D884" s="4"/>
      <c r="E884" s="4"/>
      <c r="F884" s="4"/>
    </row>
    <row r="885" spans="3:6" ht="12.5" x14ac:dyDescent="0.25">
      <c r="C885" s="4"/>
      <c r="D885" s="4"/>
      <c r="E885" s="4"/>
      <c r="F885" s="4"/>
    </row>
    <row r="886" spans="3:6" ht="12.5" x14ac:dyDescent="0.25">
      <c r="C886" s="4"/>
      <c r="D886" s="4"/>
      <c r="E886" s="4"/>
      <c r="F886" s="4"/>
    </row>
    <row r="887" spans="3:6" ht="12.5" x14ac:dyDescent="0.25">
      <c r="C887" s="4"/>
      <c r="D887" s="4"/>
      <c r="E887" s="4"/>
      <c r="F887" s="4"/>
    </row>
    <row r="888" spans="3:6" ht="12.5" x14ac:dyDescent="0.25">
      <c r="C888" s="4"/>
      <c r="D888" s="4"/>
      <c r="E888" s="4"/>
      <c r="F888" s="4"/>
    </row>
    <row r="889" spans="3:6" ht="12.5" x14ac:dyDescent="0.25">
      <c r="C889" s="4"/>
      <c r="D889" s="4"/>
      <c r="E889" s="4"/>
      <c r="F889" s="4"/>
    </row>
    <row r="890" spans="3:6" ht="12.5" x14ac:dyDescent="0.25">
      <c r="C890" s="4"/>
      <c r="D890" s="4"/>
      <c r="E890" s="4"/>
      <c r="F890" s="4"/>
    </row>
    <row r="891" spans="3:6" ht="12.5" x14ac:dyDescent="0.25">
      <c r="C891" s="4"/>
      <c r="D891" s="4"/>
      <c r="E891" s="4"/>
      <c r="F891" s="4"/>
    </row>
    <row r="892" spans="3:6" ht="12.5" x14ac:dyDescent="0.25">
      <c r="C892" s="4"/>
      <c r="D892" s="4"/>
      <c r="E892" s="4"/>
      <c r="F892" s="4"/>
    </row>
    <row r="893" spans="3:6" ht="12.5" x14ac:dyDescent="0.25">
      <c r="C893" s="4"/>
      <c r="D893" s="4"/>
      <c r="E893" s="4"/>
      <c r="F893" s="4"/>
    </row>
    <row r="894" spans="3:6" ht="12.5" x14ac:dyDescent="0.25">
      <c r="C894" s="4"/>
      <c r="D894" s="4"/>
      <c r="E894" s="4"/>
      <c r="F894" s="4"/>
    </row>
    <row r="895" spans="3:6" ht="12.5" x14ac:dyDescent="0.25">
      <c r="C895" s="4"/>
      <c r="D895" s="4"/>
      <c r="E895" s="4"/>
      <c r="F895" s="4"/>
    </row>
    <row r="896" spans="3:6" ht="12.5" x14ac:dyDescent="0.25">
      <c r="C896" s="4"/>
      <c r="D896" s="4"/>
      <c r="E896" s="4"/>
      <c r="F896" s="4"/>
    </row>
    <row r="897" spans="3:6" ht="12.5" x14ac:dyDescent="0.25">
      <c r="C897" s="4"/>
      <c r="D897" s="4"/>
      <c r="E897" s="4"/>
      <c r="F897" s="4"/>
    </row>
    <row r="898" spans="3:6" ht="12.5" x14ac:dyDescent="0.25">
      <c r="C898" s="4"/>
      <c r="D898" s="4"/>
      <c r="E898" s="4"/>
      <c r="F898" s="4"/>
    </row>
    <row r="899" spans="3:6" ht="12.5" x14ac:dyDescent="0.25">
      <c r="C899" s="4"/>
      <c r="D899" s="4"/>
      <c r="E899" s="4"/>
      <c r="F899" s="4"/>
    </row>
    <row r="900" spans="3:6" ht="12.5" x14ac:dyDescent="0.25">
      <c r="C900" s="4"/>
      <c r="D900" s="4"/>
      <c r="E900" s="4"/>
      <c r="F900" s="4"/>
    </row>
    <row r="901" spans="3:6" ht="12.5" x14ac:dyDescent="0.25">
      <c r="C901" s="4"/>
      <c r="D901" s="4"/>
      <c r="E901" s="4"/>
      <c r="F901" s="4"/>
    </row>
    <row r="902" spans="3:6" ht="12.5" x14ac:dyDescent="0.25">
      <c r="C902" s="4"/>
      <c r="D902" s="4"/>
      <c r="E902" s="4"/>
      <c r="F902" s="4"/>
    </row>
    <row r="903" spans="3:6" ht="12.5" x14ac:dyDescent="0.25">
      <c r="C903" s="4"/>
      <c r="D903" s="4"/>
      <c r="E903" s="4"/>
      <c r="F903" s="4"/>
    </row>
    <row r="904" spans="3:6" ht="12.5" x14ac:dyDescent="0.25">
      <c r="C904" s="4"/>
      <c r="D904" s="4"/>
      <c r="E904" s="4"/>
      <c r="F904" s="4"/>
    </row>
    <row r="905" spans="3:6" ht="12.5" x14ac:dyDescent="0.25">
      <c r="C905" s="4"/>
      <c r="D905" s="4"/>
      <c r="E905" s="4"/>
      <c r="F905" s="4"/>
    </row>
    <row r="906" spans="3:6" ht="12.5" x14ac:dyDescent="0.25">
      <c r="C906" s="4"/>
      <c r="D906" s="4"/>
      <c r="E906" s="4"/>
      <c r="F906" s="4"/>
    </row>
    <row r="907" spans="3:6" ht="12.5" x14ac:dyDescent="0.25">
      <c r="C907" s="4"/>
      <c r="D907" s="4"/>
      <c r="E907" s="4"/>
      <c r="F907" s="4"/>
    </row>
    <row r="908" spans="3:6" ht="12.5" x14ac:dyDescent="0.25">
      <c r="C908" s="4"/>
      <c r="D908" s="4"/>
      <c r="E908" s="4"/>
      <c r="F908" s="4"/>
    </row>
    <row r="909" spans="3:6" ht="12.5" x14ac:dyDescent="0.25">
      <c r="C909" s="4"/>
      <c r="D909" s="4"/>
      <c r="E909" s="4"/>
      <c r="F909" s="4"/>
    </row>
    <row r="910" spans="3:6" ht="12.5" x14ac:dyDescent="0.25">
      <c r="C910" s="4"/>
      <c r="D910" s="4"/>
      <c r="E910" s="4"/>
      <c r="F910" s="4"/>
    </row>
    <row r="911" spans="3:6" ht="12.5" x14ac:dyDescent="0.25">
      <c r="C911" s="4"/>
      <c r="D911" s="4"/>
      <c r="E911" s="4"/>
      <c r="F911" s="4"/>
    </row>
    <row r="912" spans="3:6" ht="12.5" x14ac:dyDescent="0.25">
      <c r="C912" s="4"/>
      <c r="D912" s="4"/>
      <c r="E912" s="4"/>
      <c r="F912" s="4"/>
    </row>
    <row r="913" spans="3:6" ht="12.5" x14ac:dyDescent="0.25">
      <c r="C913" s="4"/>
      <c r="D913" s="4"/>
      <c r="E913" s="4"/>
      <c r="F913" s="4"/>
    </row>
    <row r="914" spans="3:6" ht="12.5" x14ac:dyDescent="0.25">
      <c r="C914" s="4"/>
      <c r="D914" s="4"/>
      <c r="E914" s="4"/>
      <c r="F914" s="4"/>
    </row>
    <row r="915" spans="3:6" ht="12.5" x14ac:dyDescent="0.25">
      <c r="C915" s="4"/>
      <c r="D915" s="4"/>
      <c r="E915" s="4"/>
      <c r="F915" s="4"/>
    </row>
    <row r="916" spans="3:6" ht="12.5" x14ac:dyDescent="0.25">
      <c r="C916" s="4"/>
      <c r="D916" s="4"/>
      <c r="E916" s="4"/>
      <c r="F916" s="4"/>
    </row>
    <row r="917" spans="3:6" ht="12.5" x14ac:dyDescent="0.25">
      <c r="C917" s="4"/>
      <c r="D917" s="4"/>
      <c r="E917" s="4"/>
      <c r="F917" s="4"/>
    </row>
    <row r="918" spans="3:6" ht="12.5" x14ac:dyDescent="0.25">
      <c r="C918" s="4"/>
      <c r="D918" s="4"/>
      <c r="E918" s="4"/>
      <c r="F918" s="4"/>
    </row>
    <row r="919" spans="3:6" ht="12.5" x14ac:dyDescent="0.25">
      <c r="C919" s="4"/>
      <c r="D919" s="4"/>
      <c r="E919" s="4"/>
      <c r="F919" s="4"/>
    </row>
    <row r="920" spans="3:6" ht="12.5" x14ac:dyDescent="0.25">
      <c r="C920" s="4"/>
      <c r="D920" s="4"/>
      <c r="E920" s="4"/>
      <c r="F920" s="4"/>
    </row>
    <row r="921" spans="3:6" ht="12.5" x14ac:dyDescent="0.25">
      <c r="C921" s="4"/>
      <c r="D921" s="4"/>
      <c r="E921" s="4"/>
      <c r="F921" s="4"/>
    </row>
    <row r="922" spans="3:6" ht="12.5" x14ac:dyDescent="0.25">
      <c r="C922" s="4"/>
      <c r="D922" s="4"/>
      <c r="E922" s="4"/>
      <c r="F922" s="4"/>
    </row>
    <row r="923" spans="3:6" ht="12.5" x14ac:dyDescent="0.25">
      <c r="C923" s="4"/>
      <c r="D923" s="4"/>
      <c r="E923" s="4"/>
      <c r="F923" s="4"/>
    </row>
    <row r="924" spans="3:6" ht="12.5" x14ac:dyDescent="0.25">
      <c r="C924" s="4"/>
      <c r="D924" s="4"/>
      <c r="E924" s="4"/>
      <c r="F924" s="4"/>
    </row>
    <row r="925" spans="3:6" ht="12.5" x14ac:dyDescent="0.25">
      <c r="C925" s="4"/>
      <c r="D925" s="4"/>
      <c r="E925" s="4"/>
      <c r="F925" s="4"/>
    </row>
    <row r="926" spans="3:6" ht="12.5" x14ac:dyDescent="0.25">
      <c r="C926" s="4"/>
      <c r="D926" s="4"/>
      <c r="E926" s="4"/>
      <c r="F926" s="4"/>
    </row>
    <row r="927" spans="3:6" ht="12.5" x14ac:dyDescent="0.25">
      <c r="C927" s="4"/>
      <c r="D927" s="4"/>
      <c r="E927" s="4"/>
      <c r="F927" s="4"/>
    </row>
    <row r="928" spans="3:6" ht="12.5" x14ac:dyDescent="0.25">
      <c r="C928" s="4"/>
      <c r="D928" s="4"/>
      <c r="E928" s="4"/>
      <c r="F928" s="4"/>
    </row>
    <row r="929" spans="3:6" ht="12.5" x14ac:dyDescent="0.25">
      <c r="C929" s="4"/>
      <c r="D929" s="4"/>
      <c r="E929" s="4"/>
      <c r="F929" s="4"/>
    </row>
    <row r="930" spans="3:6" ht="12.5" x14ac:dyDescent="0.25">
      <c r="C930" s="4"/>
      <c r="D930" s="4"/>
      <c r="E930" s="4"/>
      <c r="F930" s="4"/>
    </row>
    <row r="931" spans="3:6" ht="12.5" x14ac:dyDescent="0.25">
      <c r="C931" s="4"/>
      <c r="D931" s="4"/>
      <c r="E931" s="4"/>
      <c r="F931" s="4"/>
    </row>
    <row r="932" spans="3:6" ht="12.5" x14ac:dyDescent="0.25">
      <c r="C932" s="4"/>
      <c r="D932" s="4"/>
      <c r="E932" s="4"/>
      <c r="F932" s="4"/>
    </row>
    <row r="933" spans="3:6" ht="12.5" x14ac:dyDescent="0.25">
      <c r="C933" s="4"/>
      <c r="D933" s="4"/>
      <c r="E933" s="4"/>
      <c r="F933" s="4"/>
    </row>
    <row r="934" spans="3:6" ht="12.5" x14ac:dyDescent="0.25">
      <c r="C934" s="4"/>
      <c r="D934" s="4"/>
      <c r="E934" s="4"/>
      <c r="F934" s="4"/>
    </row>
    <row r="935" spans="3:6" ht="12.5" x14ac:dyDescent="0.25">
      <c r="C935" s="4"/>
      <c r="D935" s="4"/>
      <c r="E935" s="4"/>
      <c r="F935" s="4"/>
    </row>
    <row r="936" spans="3:6" ht="12.5" x14ac:dyDescent="0.25">
      <c r="C936" s="4"/>
      <c r="D936" s="4"/>
      <c r="E936" s="4"/>
      <c r="F936" s="4"/>
    </row>
    <row r="937" spans="3:6" ht="12.5" x14ac:dyDescent="0.25">
      <c r="C937" s="4"/>
      <c r="D937" s="4"/>
      <c r="E937" s="4"/>
      <c r="F937" s="4"/>
    </row>
    <row r="938" spans="3:6" ht="12.5" x14ac:dyDescent="0.25">
      <c r="C938" s="4"/>
      <c r="D938" s="4"/>
      <c r="E938" s="4"/>
      <c r="F938" s="4"/>
    </row>
    <row r="939" spans="3:6" ht="12.5" x14ac:dyDescent="0.25">
      <c r="C939" s="4"/>
      <c r="D939" s="4"/>
      <c r="E939" s="4"/>
      <c r="F939" s="4"/>
    </row>
    <row r="940" spans="3:6" ht="12.5" x14ac:dyDescent="0.25">
      <c r="C940" s="4"/>
      <c r="D940" s="4"/>
      <c r="E940" s="4"/>
      <c r="F940" s="4"/>
    </row>
    <row r="941" spans="3:6" ht="12.5" x14ac:dyDescent="0.25">
      <c r="C941" s="4"/>
      <c r="D941" s="4"/>
      <c r="E941" s="4"/>
      <c r="F941" s="4"/>
    </row>
    <row r="942" spans="3:6" ht="12.5" x14ac:dyDescent="0.25">
      <c r="C942" s="4"/>
      <c r="D942" s="4"/>
      <c r="E942" s="4"/>
      <c r="F942" s="4"/>
    </row>
    <row r="943" spans="3:6" ht="12.5" x14ac:dyDescent="0.25">
      <c r="C943" s="4"/>
      <c r="D943" s="4"/>
      <c r="E943" s="4"/>
      <c r="F943" s="4"/>
    </row>
    <row r="944" spans="3:6" ht="12.5" x14ac:dyDescent="0.25">
      <c r="C944" s="4"/>
      <c r="D944" s="4"/>
      <c r="E944" s="4"/>
      <c r="F944" s="4"/>
    </row>
    <row r="945" spans="3:6" ht="12.5" x14ac:dyDescent="0.25">
      <c r="C945" s="4"/>
      <c r="D945" s="4"/>
      <c r="E945" s="4"/>
      <c r="F945" s="4"/>
    </row>
    <row r="946" spans="3:6" ht="12.5" x14ac:dyDescent="0.25">
      <c r="C946" s="4"/>
      <c r="D946" s="4"/>
      <c r="E946" s="4"/>
      <c r="F946" s="4"/>
    </row>
    <row r="947" spans="3:6" ht="12.5" x14ac:dyDescent="0.25">
      <c r="C947" s="4"/>
      <c r="D947" s="4"/>
      <c r="E947" s="4"/>
      <c r="F947" s="4"/>
    </row>
    <row r="948" spans="3:6" ht="12.5" x14ac:dyDescent="0.25">
      <c r="C948" s="4"/>
      <c r="D948" s="4"/>
      <c r="E948" s="4"/>
      <c r="F948" s="4"/>
    </row>
    <row r="949" spans="3:6" ht="12.5" x14ac:dyDescent="0.25">
      <c r="C949" s="4"/>
      <c r="D949" s="4"/>
      <c r="E949" s="4"/>
      <c r="F949" s="4"/>
    </row>
    <row r="950" spans="3:6" ht="12.5" x14ac:dyDescent="0.25">
      <c r="C950" s="4"/>
      <c r="D950" s="4"/>
      <c r="E950" s="4"/>
      <c r="F950" s="4"/>
    </row>
    <row r="951" spans="3:6" ht="12.5" x14ac:dyDescent="0.25">
      <c r="C951" s="4"/>
      <c r="D951" s="4"/>
      <c r="E951" s="4"/>
      <c r="F951" s="4"/>
    </row>
    <row r="952" spans="3:6" ht="12.5" x14ac:dyDescent="0.25">
      <c r="C952" s="4"/>
      <c r="D952" s="4"/>
      <c r="E952" s="4"/>
      <c r="F952" s="4"/>
    </row>
    <row r="953" spans="3:6" ht="12.5" x14ac:dyDescent="0.25">
      <c r="C953" s="4"/>
      <c r="D953" s="4"/>
      <c r="E953" s="4"/>
      <c r="F953" s="4"/>
    </row>
    <row r="954" spans="3:6" ht="12.5" x14ac:dyDescent="0.25">
      <c r="C954" s="4"/>
      <c r="D954" s="4"/>
      <c r="E954" s="4"/>
      <c r="F954" s="4"/>
    </row>
    <row r="955" spans="3:6" ht="12.5" x14ac:dyDescent="0.25">
      <c r="C955" s="4"/>
      <c r="D955" s="4"/>
      <c r="E955" s="4"/>
      <c r="F955" s="4"/>
    </row>
    <row r="956" spans="3:6" ht="12.5" x14ac:dyDescent="0.25">
      <c r="C956" s="4"/>
      <c r="D956" s="4"/>
      <c r="E956" s="4"/>
      <c r="F956" s="4"/>
    </row>
    <row r="957" spans="3:6" ht="12.5" x14ac:dyDescent="0.25">
      <c r="C957" s="4"/>
      <c r="D957" s="4"/>
      <c r="E957" s="4"/>
      <c r="F957" s="4"/>
    </row>
    <row r="958" spans="3:6" ht="12.5" x14ac:dyDescent="0.25">
      <c r="C958" s="4"/>
      <c r="D958" s="4"/>
      <c r="E958" s="4"/>
      <c r="F958" s="4"/>
    </row>
    <row r="959" spans="3:6" ht="12.5" x14ac:dyDescent="0.25">
      <c r="C959" s="4"/>
      <c r="D959" s="4"/>
      <c r="E959" s="4"/>
      <c r="F959" s="4"/>
    </row>
    <row r="960" spans="3:6" ht="12.5" x14ac:dyDescent="0.25">
      <c r="C960" s="4"/>
      <c r="D960" s="4"/>
      <c r="E960" s="4"/>
      <c r="F960" s="4"/>
    </row>
    <row r="961" spans="3:6" ht="12.5" x14ac:dyDescent="0.25">
      <c r="C961" s="4"/>
      <c r="D961" s="4"/>
      <c r="E961" s="4"/>
      <c r="F961" s="4"/>
    </row>
    <row r="962" spans="3:6" ht="12.5" x14ac:dyDescent="0.25">
      <c r="C962" s="4"/>
      <c r="D962" s="4"/>
      <c r="E962" s="4"/>
      <c r="F962" s="4"/>
    </row>
    <row r="963" spans="3:6" ht="12.5" x14ac:dyDescent="0.25">
      <c r="C963" s="4"/>
      <c r="D963" s="4"/>
      <c r="E963" s="4"/>
      <c r="F963" s="4"/>
    </row>
    <row r="964" spans="3:6" ht="12.5" x14ac:dyDescent="0.25">
      <c r="C964" s="4"/>
      <c r="D964" s="4"/>
      <c r="E964" s="4"/>
      <c r="F964" s="4"/>
    </row>
    <row r="965" spans="3:6" ht="12.5" x14ac:dyDescent="0.25">
      <c r="C965" s="4"/>
      <c r="D965" s="4"/>
      <c r="E965" s="4"/>
      <c r="F965" s="4"/>
    </row>
    <row r="966" spans="3:6" ht="12.5" x14ac:dyDescent="0.25">
      <c r="C966" s="4"/>
      <c r="D966" s="4"/>
      <c r="E966" s="4"/>
      <c r="F966" s="4"/>
    </row>
    <row r="967" spans="3:6" ht="12.5" x14ac:dyDescent="0.25">
      <c r="C967" s="4"/>
      <c r="D967" s="4"/>
      <c r="E967" s="4"/>
      <c r="F967" s="4"/>
    </row>
    <row r="968" spans="3:6" ht="12.5" x14ac:dyDescent="0.25">
      <c r="C968" s="4"/>
      <c r="D968" s="4"/>
      <c r="E968" s="4"/>
      <c r="F968" s="4"/>
    </row>
    <row r="969" spans="3:6" ht="12.5" x14ac:dyDescent="0.25">
      <c r="C969" s="4"/>
      <c r="D969" s="4"/>
      <c r="E969" s="4"/>
      <c r="F969" s="4"/>
    </row>
    <row r="970" spans="3:6" ht="12.5" x14ac:dyDescent="0.25">
      <c r="C970" s="4"/>
      <c r="D970" s="4"/>
      <c r="E970" s="4"/>
      <c r="F970" s="4"/>
    </row>
    <row r="971" spans="3:6" ht="12.5" x14ac:dyDescent="0.25">
      <c r="C971" s="4"/>
      <c r="D971" s="4"/>
      <c r="E971" s="4"/>
      <c r="F971" s="4"/>
    </row>
    <row r="972" spans="3:6" ht="12.5" x14ac:dyDescent="0.25">
      <c r="C972" s="4"/>
      <c r="D972" s="4"/>
      <c r="E972" s="4"/>
      <c r="F972" s="4"/>
    </row>
    <row r="973" spans="3:6" ht="12.5" x14ac:dyDescent="0.25">
      <c r="C973" s="4"/>
      <c r="D973" s="4"/>
      <c r="E973" s="4"/>
      <c r="F973" s="4"/>
    </row>
    <row r="974" spans="3:6" ht="12.5" x14ac:dyDescent="0.25">
      <c r="C974" s="4"/>
      <c r="D974" s="4"/>
      <c r="E974" s="4"/>
      <c r="F974" s="4"/>
    </row>
    <row r="975" spans="3:6" ht="12.5" x14ac:dyDescent="0.25">
      <c r="C975" s="4"/>
      <c r="D975" s="4"/>
      <c r="E975" s="4"/>
      <c r="F975" s="4"/>
    </row>
    <row r="976" spans="3:6" ht="12.5" x14ac:dyDescent="0.25">
      <c r="C976" s="4"/>
      <c r="D976" s="4"/>
      <c r="E976" s="4"/>
      <c r="F976" s="4"/>
    </row>
    <row r="977" spans="3:6" ht="12.5" x14ac:dyDescent="0.25">
      <c r="C977" s="4"/>
      <c r="D977" s="4"/>
      <c r="E977" s="4"/>
      <c r="F977" s="4"/>
    </row>
    <row r="978" spans="3:6" ht="12.5" x14ac:dyDescent="0.25">
      <c r="C978" s="4"/>
      <c r="D978" s="4"/>
      <c r="E978" s="4"/>
      <c r="F978" s="4"/>
    </row>
    <row r="979" spans="3:6" ht="12.5" x14ac:dyDescent="0.25">
      <c r="C979" s="4"/>
      <c r="D979" s="4"/>
      <c r="E979" s="4"/>
      <c r="F979" s="4"/>
    </row>
    <row r="980" spans="3:6" ht="12.5" x14ac:dyDescent="0.25">
      <c r="C980" s="4"/>
      <c r="D980" s="4"/>
      <c r="E980" s="4"/>
      <c r="F980" s="4"/>
    </row>
    <row r="981" spans="3:6" ht="12.5" x14ac:dyDescent="0.25">
      <c r="C981" s="4"/>
      <c r="D981" s="4"/>
      <c r="E981" s="4"/>
      <c r="F981" s="4"/>
    </row>
    <row r="982" spans="3:6" ht="12.5" x14ac:dyDescent="0.25">
      <c r="C982" s="4"/>
      <c r="D982" s="4"/>
      <c r="E982" s="4"/>
      <c r="F982" s="4"/>
    </row>
    <row r="983" spans="3:6" ht="12.5" x14ac:dyDescent="0.25">
      <c r="C983" s="4"/>
      <c r="D983" s="4"/>
      <c r="E983" s="4"/>
      <c r="F983" s="4"/>
    </row>
    <row r="984" spans="3:6" ht="12.5" x14ac:dyDescent="0.25">
      <c r="C984" s="4"/>
      <c r="D984" s="4"/>
      <c r="E984" s="4"/>
      <c r="F984" s="4"/>
    </row>
    <row r="985" spans="3:6" ht="12.5" x14ac:dyDescent="0.25">
      <c r="C985" s="4"/>
      <c r="D985" s="4"/>
      <c r="E985" s="4"/>
      <c r="F985" s="4"/>
    </row>
    <row r="986" spans="3:6" ht="12.5" x14ac:dyDescent="0.25">
      <c r="C986" s="4"/>
      <c r="D986" s="4"/>
      <c r="E986" s="4"/>
      <c r="F986" s="4"/>
    </row>
    <row r="987" spans="3:6" ht="12.5" x14ac:dyDescent="0.25">
      <c r="C987" s="4"/>
      <c r="D987" s="4"/>
      <c r="E987" s="4"/>
      <c r="F987" s="4"/>
    </row>
    <row r="988" spans="3:6" ht="12.5" x14ac:dyDescent="0.25">
      <c r="C988" s="4"/>
      <c r="D988" s="4"/>
      <c r="E988" s="4"/>
      <c r="F988" s="4"/>
    </row>
    <row r="989" spans="3:6" ht="12.5" x14ac:dyDescent="0.25">
      <c r="C989" s="4"/>
      <c r="D989" s="4"/>
      <c r="E989" s="4"/>
      <c r="F989" s="4"/>
    </row>
    <row r="990" spans="3:6" ht="12.5" x14ac:dyDescent="0.25">
      <c r="C990" s="4"/>
      <c r="D990" s="4"/>
      <c r="E990" s="4"/>
      <c r="F990" s="4"/>
    </row>
    <row r="991" spans="3:6" ht="12.5" x14ac:dyDescent="0.25">
      <c r="C991" s="4"/>
      <c r="D991" s="4"/>
      <c r="E991" s="4"/>
      <c r="F991" s="4"/>
    </row>
    <row r="992" spans="3:6" ht="12.5" x14ac:dyDescent="0.25">
      <c r="C992" s="4"/>
      <c r="D992" s="4"/>
      <c r="E992" s="4"/>
      <c r="F992" s="4"/>
    </row>
    <row r="993" spans="3:6" ht="12.5" x14ac:dyDescent="0.25">
      <c r="C993" s="4"/>
      <c r="D993" s="4"/>
      <c r="E993" s="4"/>
      <c r="F993" s="4"/>
    </row>
    <row r="994" spans="3:6" ht="12.5" x14ac:dyDescent="0.25">
      <c r="C994" s="4"/>
      <c r="D994" s="4"/>
      <c r="E994" s="4"/>
      <c r="F994" s="4"/>
    </row>
    <row r="995" spans="3:6" ht="12.5" x14ac:dyDescent="0.25">
      <c r="C995" s="4"/>
      <c r="D995" s="4"/>
      <c r="E995" s="4"/>
      <c r="F995" s="4"/>
    </row>
    <row r="996" spans="3:6" ht="12.5" x14ac:dyDescent="0.25">
      <c r="C996" s="4"/>
      <c r="D996" s="4"/>
      <c r="E996" s="4"/>
      <c r="F996" s="4"/>
    </row>
    <row r="997" spans="3:6" ht="12.5" x14ac:dyDescent="0.25">
      <c r="C997" s="4"/>
      <c r="D997" s="4"/>
      <c r="E997" s="4"/>
      <c r="F997" s="4"/>
    </row>
    <row r="998" spans="3:6" ht="12.5" x14ac:dyDescent="0.25">
      <c r="C998" s="4"/>
      <c r="D998" s="4"/>
      <c r="E998" s="4"/>
      <c r="F998" s="4"/>
    </row>
    <row r="999" spans="3:6" ht="12.5" x14ac:dyDescent="0.25">
      <c r="C999" s="4"/>
      <c r="D999" s="4"/>
      <c r="E999" s="4"/>
      <c r="F999" s="4"/>
    </row>
    <row r="1000" spans="3:6" ht="12.5" x14ac:dyDescent="0.25">
      <c r="C1000" s="4"/>
      <c r="D1000" s="4"/>
      <c r="E1000" s="4"/>
      <c r="F1000" s="4"/>
    </row>
    <row r="1001" spans="3:6" ht="12.5" x14ac:dyDescent="0.25">
      <c r="C1001" s="4"/>
      <c r="D1001" s="4"/>
      <c r="E1001" s="4"/>
      <c r="F1001" s="4"/>
    </row>
    <row r="1002" spans="3:6" ht="12.5" x14ac:dyDescent="0.25">
      <c r="C1002" s="4"/>
      <c r="D1002" s="4"/>
      <c r="E1002" s="4"/>
      <c r="F1002" s="4"/>
    </row>
    <row r="1003" spans="3:6" ht="12.5" x14ac:dyDescent="0.25">
      <c r="C1003" s="4"/>
      <c r="D1003" s="4"/>
      <c r="E1003" s="4"/>
      <c r="F1003" s="4"/>
    </row>
  </sheetData>
  <mergeCells count="7">
    <mergeCell ref="I55:K55"/>
    <mergeCell ref="C7:F7"/>
    <mergeCell ref="A1:S3"/>
    <mergeCell ref="A4:S4"/>
    <mergeCell ref="A7:A8"/>
    <mergeCell ref="G7:G8"/>
    <mergeCell ref="B7:B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525"/>
  <sheetViews>
    <sheetView topLeftCell="D450" zoomScaleNormal="100" workbookViewId="0">
      <selection activeCell="M495" sqref="M495"/>
    </sheetView>
  </sheetViews>
  <sheetFormatPr defaultColWidth="12.6328125" defaultRowHeight="15.75" customHeight="1" x14ac:dyDescent="0.25"/>
  <cols>
    <col min="3" max="3" width="13.6328125" customWidth="1"/>
    <col min="10" max="10" width="14.6328125" customWidth="1"/>
    <col min="11" max="11" width="15.54296875" customWidth="1"/>
  </cols>
  <sheetData>
    <row r="1" spans="1:26" ht="15.75" customHeight="1" x14ac:dyDescent="0.25">
      <c r="A1" s="120" t="s">
        <v>411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2"/>
    </row>
    <row r="2" spans="1:26" ht="15.75" customHeight="1" x14ac:dyDescent="0.25">
      <c r="A2" s="123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5"/>
    </row>
    <row r="3" spans="1:26" ht="15.75" customHeight="1" x14ac:dyDescent="0.25">
      <c r="A3" s="123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5"/>
    </row>
    <row r="4" spans="1:26" ht="15.75" customHeight="1" x14ac:dyDescent="0.25">
      <c r="A4" s="135" t="s">
        <v>413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7"/>
    </row>
    <row r="5" spans="1:26" ht="15.7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26" ht="15.75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26" ht="18.649999999999999" customHeight="1" x14ac:dyDescent="0.25">
      <c r="A7" s="138" t="s">
        <v>414</v>
      </c>
      <c r="B7" s="119" t="s">
        <v>34</v>
      </c>
      <c r="C7" s="119" t="s">
        <v>2</v>
      </c>
      <c r="D7" s="119"/>
      <c r="E7" s="119"/>
      <c r="F7" s="119"/>
      <c r="G7" s="13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5" x14ac:dyDescent="0.25">
      <c r="A8" s="139"/>
      <c r="B8" s="140"/>
      <c r="C8" s="44" t="s">
        <v>4</v>
      </c>
      <c r="D8" s="44" t="s">
        <v>5</v>
      </c>
      <c r="E8" s="44" t="s">
        <v>6</v>
      </c>
      <c r="F8" s="19" t="s">
        <v>7</v>
      </c>
      <c r="G8" s="43" t="s">
        <v>3</v>
      </c>
      <c r="H8" s="1"/>
      <c r="I8" s="1"/>
      <c r="J8" s="1"/>
      <c r="K8" s="8"/>
      <c r="L8" s="1"/>
      <c r="M8" s="1"/>
      <c r="N8" s="1"/>
      <c r="O8" s="1"/>
      <c r="P8" s="7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5" x14ac:dyDescent="0.25">
      <c r="A9" s="97">
        <v>1985</v>
      </c>
      <c r="B9" s="58"/>
      <c r="C9" s="59"/>
      <c r="D9" s="59"/>
      <c r="E9" s="59"/>
      <c r="F9" s="59"/>
      <c r="G9" s="98"/>
      <c r="H9" s="1"/>
      <c r="I9" s="1"/>
      <c r="J9" s="1"/>
      <c r="K9" s="8"/>
      <c r="L9" s="1"/>
      <c r="M9" s="1"/>
      <c r="N9" s="1"/>
      <c r="O9" s="1"/>
      <c r="P9" s="7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5" x14ac:dyDescent="0.25">
      <c r="A10" s="94" t="s">
        <v>35</v>
      </c>
      <c r="B10" s="45">
        <v>0</v>
      </c>
      <c r="C10" s="46">
        <v>0</v>
      </c>
      <c r="D10" s="47"/>
      <c r="E10" s="47"/>
      <c r="F10" s="47"/>
      <c r="G10" s="91" t="s">
        <v>9</v>
      </c>
      <c r="H10" s="1"/>
      <c r="I10" s="1"/>
      <c r="J10" s="1"/>
      <c r="K10" s="8"/>
      <c r="L10" s="1"/>
      <c r="M10" s="1"/>
      <c r="N10" s="1"/>
      <c r="O10" s="1"/>
      <c r="P10" s="7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5" x14ac:dyDescent="0.25">
      <c r="A11" s="95" t="s">
        <v>36</v>
      </c>
      <c r="B11" s="62">
        <v>0</v>
      </c>
      <c r="C11" s="63">
        <v>0</v>
      </c>
      <c r="D11" s="64"/>
      <c r="E11" s="64"/>
      <c r="F11" s="64"/>
      <c r="G11" s="93" t="s">
        <v>9</v>
      </c>
      <c r="H11" s="1"/>
      <c r="I11" s="1"/>
      <c r="J11" s="1"/>
      <c r="K11" s="8"/>
      <c r="L11" s="1"/>
      <c r="M11" s="1"/>
      <c r="N11" s="1"/>
      <c r="O11" s="1"/>
      <c r="P11" s="7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5" x14ac:dyDescent="0.25">
      <c r="A12" s="94" t="s">
        <v>37</v>
      </c>
      <c r="B12" s="45">
        <v>0</v>
      </c>
      <c r="C12" s="46">
        <v>0</v>
      </c>
      <c r="D12" s="47"/>
      <c r="E12" s="47"/>
      <c r="F12" s="47"/>
      <c r="G12" s="91" t="s">
        <v>9</v>
      </c>
      <c r="H12" s="1"/>
      <c r="I12" s="1"/>
      <c r="J12" s="1"/>
      <c r="K12" s="8"/>
      <c r="L12" s="1"/>
      <c r="M12" s="1"/>
      <c r="N12" s="1"/>
      <c r="O12" s="1"/>
      <c r="P12" s="7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5" x14ac:dyDescent="0.25">
      <c r="A13" s="95" t="s">
        <v>38</v>
      </c>
      <c r="B13" s="62">
        <v>0</v>
      </c>
      <c r="C13" s="63">
        <v>0</v>
      </c>
      <c r="D13" s="64"/>
      <c r="E13" s="64"/>
      <c r="F13" s="64"/>
      <c r="G13" s="93" t="s">
        <v>9</v>
      </c>
      <c r="H13" s="1"/>
      <c r="I13" s="1"/>
      <c r="J13" s="1"/>
      <c r="K13" s="8"/>
      <c r="L13" s="1"/>
      <c r="M13" s="1"/>
      <c r="N13" s="1"/>
      <c r="O13" s="1"/>
      <c r="P13" s="7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5" x14ac:dyDescent="0.25">
      <c r="A14" s="94" t="s">
        <v>39</v>
      </c>
      <c r="B14" s="45">
        <v>0</v>
      </c>
      <c r="C14" s="46">
        <v>0</v>
      </c>
      <c r="D14" s="47"/>
      <c r="E14" s="47"/>
      <c r="F14" s="47"/>
      <c r="G14" s="91" t="s">
        <v>9</v>
      </c>
      <c r="H14" s="1"/>
      <c r="I14" s="1"/>
      <c r="J14" s="1"/>
      <c r="K14" s="8"/>
      <c r="L14" s="1"/>
      <c r="M14" s="1"/>
      <c r="N14" s="1"/>
      <c r="O14" s="1"/>
      <c r="P14" s="7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5" x14ac:dyDescent="0.25">
      <c r="A15" s="95" t="s">
        <v>40</v>
      </c>
      <c r="B15" s="62">
        <v>0</v>
      </c>
      <c r="C15" s="63">
        <v>0</v>
      </c>
      <c r="D15" s="64"/>
      <c r="E15" s="64"/>
      <c r="F15" s="64"/>
      <c r="G15" s="93" t="s">
        <v>9</v>
      </c>
      <c r="H15" s="1"/>
      <c r="I15" s="1"/>
      <c r="J15" s="1"/>
      <c r="K15" s="8"/>
      <c r="L15" s="1"/>
      <c r="M15" s="1"/>
      <c r="N15" s="1"/>
      <c r="O15" s="1"/>
      <c r="P15" s="7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5" x14ac:dyDescent="0.25">
      <c r="A16" s="94" t="s">
        <v>41</v>
      </c>
      <c r="B16" s="45">
        <v>0</v>
      </c>
      <c r="C16" s="46">
        <v>0</v>
      </c>
      <c r="D16" s="47"/>
      <c r="E16" s="47"/>
      <c r="F16" s="47"/>
      <c r="G16" s="91" t="s">
        <v>9</v>
      </c>
      <c r="H16" s="1"/>
      <c r="I16" s="1"/>
      <c r="J16" s="1"/>
      <c r="K16" s="8"/>
      <c r="L16" s="1"/>
      <c r="M16" s="1"/>
      <c r="N16" s="1"/>
      <c r="O16" s="1"/>
      <c r="P16" s="7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5" x14ac:dyDescent="0.25">
      <c r="A17" s="95" t="s">
        <v>42</v>
      </c>
      <c r="B17" s="62">
        <v>0</v>
      </c>
      <c r="C17" s="63">
        <v>0</v>
      </c>
      <c r="D17" s="64"/>
      <c r="E17" s="64"/>
      <c r="F17" s="64"/>
      <c r="G17" s="93" t="s">
        <v>9</v>
      </c>
      <c r="H17" s="1"/>
      <c r="I17" s="1"/>
      <c r="J17" s="1"/>
      <c r="K17" s="8"/>
      <c r="L17" s="1"/>
      <c r="M17" s="1"/>
      <c r="N17" s="1"/>
      <c r="O17" s="1"/>
      <c r="P17" s="7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5" x14ac:dyDescent="0.25">
      <c r="A18" s="94" t="s">
        <v>43</v>
      </c>
      <c r="B18" s="45">
        <v>0</v>
      </c>
      <c r="C18" s="46">
        <v>0</v>
      </c>
      <c r="D18" s="47"/>
      <c r="E18" s="47"/>
      <c r="F18" s="47"/>
      <c r="G18" s="91" t="s">
        <v>9</v>
      </c>
      <c r="H18" s="1"/>
      <c r="I18" s="1"/>
      <c r="J18" s="1"/>
      <c r="K18" s="8"/>
      <c r="L18" s="1"/>
      <c r="M18" s="1"/>
      <c r="N18" s="1"/>
      <c r="O18" s="1"/>
      <c r="P18" s="7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5" x14ac:dyDescent="0.25">
      <c r="A19" s="95" t="s">
        <v>44</v>
      </c>
      <c r="B19" s="62">
        <v>0</v>
      </c>
      <c r="C19" s="63">
        <v>0</v>
      </c>
      <c r="D19" s="64"/>
      <c r="E19" s="64"/>
      <c r="F19" s="64"/>
      <c r="G19" s="93" t="s">
        <v>9</v>
      </c>
      <c r="H19" s="1"/>
      <c r="I19" s="1"/>
      <c r="J19" s="1"/>
      <c r="K19" s="8"/>
      <c r="L19" s="1"/>
      <c r="M19" s="1"/>
      <c r="N19" s="1"/>
      <c r="O19" s="1"/>
      <c r="P19" s="7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5" x14ac:dyDescent="0.25">
      <c r="A20" s="94" t="s">
        <v>45</v>
      </c>
      <c r="B20" s="45">
        <v>0</v>
      </c>
      <c r="C20" s="46">
        <v>0</v>
      </c>
      <c r="D20" s="47"/>
      <c r="E20" s="47"/>
      <c r="F20" s="47"/>
      <c r="G20" s="91" t="s">
        <v>9</v>
      </c>
      <c r="H20" s="1"/>
      <c r="I20" s="1"/>
      <c r="J20" s="1"/>
      <c r="K20" s="8"/>
      <c r="L20" s="1"/>
      <c r="M20" s="1"/>
      <c r="N20" s="1"/>
      <c r="O20" s="1"/>
      <c r="P20" s="7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5" x14ac:dyDescent="0.25">
      <c r="A21" s="95" t="s">
        <v>46</v>
      </c>
      <c r="B21" s="62">
        <v>0</v>
      </c>
      <c r="C21" s="63">
        <v>0</v>
      </c>
      <c r="D21" s="64"/>
      <c r="E21" s="64"/>
      <c r="F21" s="64"/>
      <c r="G21" s="93" t="s">
        <v>9</v>
      </c>
      <c r="H21" s="1"/>
      <c r="I21" s="1"/>
      <c r="J21" s="1"/>
      <c r="K21" s="8"/>
      <c r="L21" s="1"/>
      <c r="M21" s="1"/>
      <c r="N21" s="1"/>
      <c r="O21" s="1"/>
      <c r="P21" s="7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5" x14ac:dyDescent="0.25">
      <c r="A22" s="76">
        <v>1986</v>
      </c>
      <c r="B22" s="60"/>
      <c r="C22" s="61"/>
      <c r="D22" s="61"/>
      <c r="E22" s="61"/>
      <c r="F22" s="61"/>
      <c r="G22" s="77"/>
      <c r="H22" s="1"/>
      <c r="I22" s="1"/>
      <c r="J22" s="1"/>
      <c r="K22" s="8"/>
      <c r="L22" s="1"/>
      <c r="M22" s="1"/>
      <c r="N22" s="1"/>
      <c r="O22" s="1"/>
      <c r="P22" s="7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5" x14ac:dyDescent="0.25">
      <c r="A23" s="94" t="s">
        <v>47</v>
      </c>
      <c r="B23" s="45">
        <v>0</v>
      </c>
      <c r="C23" s="46">
        <v>0</v>
      </c>
      <c r="D23" s="47"/>
      <c r="E23" s="47"/>
      <c r="F23" s="47"/>
      <c r="G23" s="91" t="s">
        <v>9</v>
      </c>
      <c r="H23" s="1"/>
      <c r="I23" s="1"/>
      <c r="J23" s="1"/>
      <c r="K23" s="8"/>
      <c r="L23" s="1"/>
      <c r="M23" s="1"/>
      <c r="N23" s="1"/>
      <c r="O23" s="1"/>
      <c r="P23" s="7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5" x14ac:dyDescent="0.25">
      <c r="A24" s="95" t="s">
        <v>48</v>
      </c>
      <c r="B24" s="62">
        <v>0</v>
      </c>
      <c r="C24" s="63">
        <v>0</v>
      </c>
      <c r="D24" s="64"/>
      <c r="E24" s="64"/>
      <c r="F24" s="64"/>
      <c r="G24" s="93" t="s">
        <v>9</v>
      </c>
      <c r="H24" s="1"/>
      <c r="I24" s="1"/>
      <c r="J24" s="1"/>
      <c r="K24" s="8"/>
      <c r="L24" s="1"/>
      <c r="M24" s="1"/>
      <c r="N24" s="1"/>
      <c r="O24" s="1"/>
      <c r="P24" s="7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5" x14ac:dyDescent="0.25">
      <c r="A25" s="94" t="s">
        <v>49</v>
      </c>
      <c r="B25" s="45">
        <v>0</v>
      </c>
      <c r="C25" s="46">
        <v>0</v>
      </c>
      <c r="D25" s="47"/>
      <c r="E25" s="47"/>
      <c r="F25" s="47"/>
      <c r="G25" s="91" t="s">
        <v>9</v>
      </c>
      <c r="H25" s="1"/>
      <c r="I25" s="1"/>
      <c r="J25" s="1"/>
      <c r="K25" s="8"/>
      <c r="L25" s="1"/>
      <c r="M25" s="1"/>
      <c r="N25" s="1"/>
      <c r="O25" s="1"/>
      <c r="P25" s="7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5" x14ac:dyDescent="0.25">
      <c r="A26" s="95" t="s">
        <v>50</v>
      </c>
      <c r="B26" s="62">
        <v>0</v>
      </c>
      <c r="C26" s="63">
        <v>0</v>
      </c>
      <c r="D26" s="64"/>
      <c r="E26" s="64"/>
      <c r="F26" s="64"/>
      <c r="G26" s="93" t="s">
        <v>9</v>
      </c>
      <c r="H26" s="1"/>
      <c r="I26" s="1"/>
      <c r="J26" s="1"/>
      <c r="K26" s="8"/>
      <c r="L26" s="1"/>
      <c r="M26" s="1"/>
      <c r="N26" s="1"/>
      <c r="O26" s="1"/>
      <c r="P26" s="7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5" x14ac:dyDescent="0.25">
      <c r="A27" s="94" t="s">
        <v>51</v>
      </c>
      <c r="B27" s="45">
        <v>0</v>
      </c>
      <c r="C27" s="46">
        <v>0</v>
      </c>
      <c r="D27" s="47"/>
      <c r="E27" s="47"/>
      <c r="F27" s="47"/>
      <c r="G27" s="91" t="s">
        <v>9</v>
      </c>
      <c r="H27" s="1"/>
      <c r="I27" s="1"/>
      <c r="J27" s="1"/>
      <c r="K27" s="8"/>
      <c r="L27" s="1"/>
      <c r="M27" s="1"/>
      <c r="N27" s="1"/>
      <c r="O27" s="1"/>
      <c r="P27" s="7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5" x14ac:dyDescent="0.25">
      <c r="A28" s="95" t="s">
        <v>52</v>
      </c>
      <c r="B28" s="62">
        <v>0</v>
      </c>
      <c r="C28" s="63">
        <v>0</v>
      </c>
      <c r="D28" s="64"/>
      <c r="E28" s="64"/>
      <c r="F28" s="64"/>
      <c r="G28" s="93" t="s">
        <v>9</v>
      </c>
      <c r="H28" s="1"/>
      <c r="I28" s="1"/>
      <c r="J28" s="1"/>
      <c r="K28" s="8"/>
      <c r="L28" s="1"/>
      <c r="M28" s="1"/>
      <c r="N28" s="1"/>
      <c r="O28" s="1"/>
      <c r="P28" s="7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5" x14ac:dyDescent="0.25">
      <c r="A29" s="94" t="s">
        <v>53</v>
      </c>
      <c r="B29" s="45">
        <v>0</v>
      </c>
      <c r="C29" s="46">
        <v>0</v>
      </c>
      <c r="D29" s="47"/>
      <c r="E29" s="47"/>
      <c r="F29" s="47"/>
      <c r="G29" s="91" t="s">
        <v>9</v>
      </c>
      <c r="H29" s="1"/>
      <c r="I29" s="1"/>
      <c r="J29" s="1"/>
      <c r="K29" s="8"/>
      <c r="L29" s="1"/>
      <c r="M29" s="1"/>
      <c r="N29" s="1"/>
      <c r="O29" s="1"/>
      <c r="P29" s="7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5" x14ac:dyDescent="0.25">
      <c r="A30" s="95" t="s">
        <v>54</v>
      </c>
      <c r="B30" s="62">
        <v>0</v>
      </c>
      <c r="C30" s="63">
        <v>0</v>
      </c>
      <c r="D30" s="64"/>
      <c r="E30" s="64"/>
      <c r="F30" s="64"/>
      <c r="G30" s="93" t="s">
        <v>9</v>
      </c>
      <c r="H30" s="1"/>
      <c r="I30" s="1"/>
      <c r="J30" s="1"/>
      <c r="K30" s="8"/>
      <c r="L30" s="1"/>
      <c r="M30" s="1"/>
      <c r="N30" s="1"/>
      <c r="O30" s="1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5" x14ac:dyDescent="0.25">
      <c r="A31" s="94" t="s">
        <v>55</v>
      </c>
      <c r="B31" s="45">
        <v>0</v>
      </c>
      <c r="C31" s="46">
        <v>0</v>
      </c>
      <c r="D31" s="47"/>
      <c r="E31" s="47"/>
      <c r="F31" s="47"/>
      <c r="G31" s="91" t="s">
        <v>9</v>
      </c>
      <c r="H31" s="1"/>
      <c r="I31" s="1"/>
      <c r="J31" s="1"/>
      <c r="K31" s="8"/>
      <c r="L31" s="1"/>
      <c r="M31" s="1"/>
      <c r="N31" s="1"/>
      <c r="O31" s="1"/>
      <c r="P31" s="7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5" x14ac:dyDescent="0.25">
      <c r="A32" s="95" t="s">
        <v>56</v>
      </c>
      <c r="B32" s="62">
        <v>0</v>
      </c>
      <c r="C32" s="63">
        <v>0</v>
      </c>
      <c r="D32" s="64"/>
      <c r="E32" s="64"/>
      <c r="F32" s="64"/>
      <c r="G32" s="93" t="s">
        <v>9</v>
      </c>
      <c r="H32" s="1"/>
      <c r="I32" s="1"/>
      <c r="J32" s="1"/>
      <c r="K32" s="8"/>
      <c r="L32" s="1"/>
      <c r="M32" s="1"/>
      <c r="N32" s="1"/>
      <c r="O32" s="1"/>
      <c r="P32" s="7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5" x14ac:dyDescent="0.25">
      <c r="A33" s="94" t="s">
        <v>57</v>
      </c>
      <c r="B33" s="45">
        <v>0</v>
      </c>
      <c r="C33" s="46">
        <v>0</v>
      </c>
      <c r="D33" s="47"/>
      <c r="E33" s="47"/>
      <c r="F33" s="47"/>
      <c r="G33" s="91" t="s">
        <v>9</v>
      </c>
      <c r="H33" s="1"/>
      <c r="I33" s="1"/>
      <c r="J33" s="1"/>
      <c r="K33" s="8"/>
      <c r="L33" s="1"/>
      <c r="M33" s="1"/>
      <c r="N33" s="1"/>
      <c r="O33" s="1"/>
      <c r="P33" s="7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5" x14ac:dyDescent="0.25">
      <c r="A34" s="95" t="s">
        <v>58</v>
      </c>
      <c r="B34" s="62">
        <v>0</v>
      </c>
      <c r="C34" s="63">
        <v>0</v>
      </c>
      <c r="D34" s="64"/>
      <c r="E34" s="64"/>
      <c r="F34" s="64"/>
      <c r="G34" s="93" t="s">
        <v>9</v>
      </c>
      <c r="H34" s="1"/>
      <c r="I34" s="1"/>
      <c r="J34" s="1"/>
      <c r="K34" s="8"/>
      <c r="L34" s="1"/>
      <c r="M34" s="1"/>
      <c r="N34" s="1"/>
      <c r="O34" s="1"/>
      <c r="P34" s="7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5" x14ac:dyDescent="0.25">
      <c r="A35" s="76">
        <v>1987</v>
      </c>
      <c r="B35" s="60"/>
      <c r="C35" s="61"/>
      <c r="D35" s="61"/>
      <c r="E35" s="61"/>
      <c r="F35" s="61"/>
      <c r="G35" s="77"/>
      <c r="H35" s="1"/>
      <c r="I35" s="1"/>
      <c r="J35" s="1"/>
      <c r="K35" s="8"/>
      <c r="L35" s="1"/>
      <c r="M35" s="1"/>
      <c r="N35" s="1"/>
      <c r="O35" s="1"/>
      <c r="P35" s="7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5" x14ac:dyDescent="0.25">
      <c r="A36" s="94" t="s">
        <v>59</v>
      </c>
      <c r="B36" s="45">
        <v>0</v>
      </c>
      <c r="C36" s="46">
        <v>0</v>
      </c>
      <c r="D36" s="47"/>
      <c r="E36" s="47"/>
      <c r="F36" s="47"/>
      <c r="G36" s="91" t="s">
        <v>9</v>
      </c>
      <c r="H36" s="1"/>
      <c r="I36" s="1"/>
      <c r="J36" s="1"/>
      <c r="K36" s="8"/>
      <c r="L36" s="1"/>
      <c r="M36" s="1"/>
      <c r="N36" s="1"/>
      <c r="O36" s="1"/>
      <c r="P36" s="7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5" x14ac:dyDescent="0.25">
      <c r="A37" s="95" t="s">
        <v>60</v>
      </c>
      <c r="B37" s="62">
        <v>1</v>
      </c>
      <c r="C37" s="63">
        <f>20.1/1000</f>
        <v>2.01E-2</v>
      </c>
      <c r="D37" s="64"/>
      <c r="E37" s="64"/>
      <c r="F37" s="64"/>
      <c r="G37" s="93" t="s">
        <v>9</v>
      </c>
      <c r="H37" s="1"/>
      <c r="I37" s="1"/>
      <c r="J37" s="1"/>
      <c r="K37" s="8"/>
      <c r="L37" s="1"/>
      <c r="M37" s="1"/>
      <c r="N37" s="1"/>
      <c r="O37" s="1"/>
      <c r="P37" s="7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5" x14ac:dyDescent="0.25">
      <c r="A38" s="94" t="s">
        <v>61</v>
      </c>
      <c r="B38" s="45">
        <v>0</v>
      </c>
      <c r="C38" s="46">
        <v>0</v>
      </c>
      <c r="D38" s="47"/>
      <c r="E38" s="47"/>
      <c r="F38" s="47"/>
      <c r="G38" s="91" t="s">
        <v>9</v>
      </c>
      <c r="H38" s="1"/>
      <c r="I38" s="1"/>
      <c r="J38" s="1"/>
      <c r="K38" s="8"/>
      <c r="L38" s="1"/>
      <c r="M38" s="1"/>
      <c r="N38" s="1"/>
      <c r="O38" s="1"/>
      <c r="P38" s="7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5" x14ac:dyDescent="0.25">
      <c r="A39" s="95" t="s">
        <v>62</v>
      </c>
      <c r="B39" s="62">
        <v>0</v>
      </c>
      <c r="C39" s="63">
        <v>0</v>
      </c>
      <c r="D39" s="64"/>
      <c r="E39" s="64"/>
      <c r="F39" s="64"/>
      <c r="G39" s="93" t="s">
        <v>9</v>
      </c>
      <c r="H39" s="1"/>
      <c r="I39" s="1"/>
      <c r="J39" s="1"/>
      <c r="K39" s="8"/>
      <c r="L39" s="1"/>
      <c r="M39" s="1"/>
      <c r="N39" s="1"/>
      <c r="O39" s="1"/>
      <c r="P39" s="7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5" x14ac:dyDescent="0.25">
      <c r="A40" s="94" t="s">
        <v>63</v>
      </c>
      <c r="B40" s="45">
        <v>0</v>
      </c>
      <c r="C40" s="46">
        <v>0</v>
      </c>
      <c r="D40" s="47"/>
      <c r="E40" s="47"/>
      <c r="F40" s="47"/>
      <c r="G40" s="91" t="s">
        <v>9</v>
      </c>
      <c r="H40" s="1"/>
      <c r="I40" s="1"/>
      <c r="J40" s="1"/>
      <c r="K40" s="8"/>
      <c r="L40" s="1"/>
      <c r="M40" s="1"/>
      <c r="N40" s="1"/>
      <c r="O40" s="1"/>
      <c r="P40" s="7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5" x14ac:dyDescent="0.25">
      <c r="A41" s="95" t="s">
        <v>64</v>
      </c>
      <c r="B41" s="62">
        <v>0</v>
      </c>
      <c r="C41" s="63">
        <v>0</v>
      </c>
      <c r="D41" s="64"/>
      <c r="E41" s="64"/>
      <c r="F41" s="64"/>
      <c r="G41" s="93" t="s">
        <v>9</v>
      </c>
      <c r="H41" s="1"/>
      <c r="I41" s="1"/>
      <c r="J41" s="1"/>
      <c r="K41" s="8"/>
      <c r="L41" s="1"/>
      <c r="M41" s="1"/>
      <c r="N41" s="1"/>
      <c r="O41" s="1"/>
      <c r="P41" s="7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5" x14ac:dyDescent="0.25">
      <c r="A42" s="94" t="s">
        <v>65</v>
      </c>
      <c r="B42" s="45">
        <v>0</v>
      </c>
      <c r="C42" s="46">
        <v>0</v>
      </c>
      <c r="D42" s="47"/>
      <c r="E42" s="47"/>
      <c r="F42" s="47"/>
      <c r="G42" s="91" t="s">
        <v>9</v>
      </c>
      <c r="H42" s="1"/>
      <c r="I42" s="1"/>
      <c r="J42" s="1"/>
      <c r="K42" s="8"/>
      <c r="L42" s="1"/>
      <c r="M42" s="1"/>
      <c r="N42" s="1"/>
      <c r="O42" s="1"/>
      <c r="P42" s="7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5" x14ac:dyDescent="0.25">
      <c r="A43" s="95" t="s">
        <v>66</v>
      </c>
      <c r="B43" s="62">
        <v>0</v>
      </c>
      <c r="C43" s="63">
        <v>0</v>
      </c>
      <c r="D43" s="64"/>
      <c r="E43" s="64"/>
      <c r="F43" s="64"/>
      <c r="G43" s="93" t="s">
        <v>9</v>
      </c>
      <c r="H43" s="1"/>
      <c r="I43" s="1"/>
      <c r="J43" s="1"/>
      <c r="K43" s="8"/>
      <c r="L43" s="1"/>
      <c r="M43" s="1"/>
      <c r="N43" s="1"/>
      <c r="O43" s="1"/>
      <c r="P43" s="7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5" x14ac:dyDescent="0.25">
      <c r="A44" s="94" t="s">
        <v>67</v>
      </c>
      <c r="B44" s="45">
        <v>0</v>
      </c>
      <c r="C44" s="46">
        <v>0</v>
      </c>
      <c r="D44" s="47"/>
      <c r="E44" s="47"/>
      <c r="F44" s="47"/>
      <c r="G44" s="91" t="s">
        <v>9</v>
      </c>
      <c r="H44" s="1"/>
      <c r="I44" s="1"/>
      <c r="J44" s="1"/>
      <c r="K44" s="8"/>
      <c r="L44" s="1"/>
      <c r="M44" s="1"/>
      <c r="N44" s="1"/>
      <c r="O44" s="1"/>
      <c r="P44" s="7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5" x14ac:dyDescent="0.25">
      <c r="A45" s="95" t="s">
        <v>68</v>
      </c>
      <c r="B45" s="62">
        <v>0</v>
      </c>
      <c r="C45" s="63">
        <v>0</v>
      </c>
      <c r="D45" s="64"/>
      <c r="E45" s="64"/>
      <c r="F45" s="64"/>
      <c r="G45" s="93" t="s">
        <v>9</v>
      </c>
      <c r="H45" s="1"/>
      <c r="I45" s="1"/>
      <c r="J45" s="1"/>
      <c r="K45" s="8"/>
      <c r="L45" s="1"/>
      <c r="M45" s="1"/>
      <c r="N45" s="1"/>
      <c r="O45" s="1"/>
      <c r="P45" s="7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5" x14ac:dyDescent="0.25">
      <c r="A46" s="94" t="s">
        <v>69</v>
      </c>
      <c r="B46" s="45">
        <v>0</v>
      </c>
      <c r="C46" s="46">
        <v>0</v>
      </c>
      <c r="D46" s="47"/>
      <c r="E46" s="47"/>
      <c r="F46" s="47"/>
      <c r="G46" s="91" t="s">
        <v>9</v>
      </c>
      <c r="H46" s="1"/>
      <c r="I46" s="1"/>
      <c r="J46" s="1"/>
      <c r="K46" s="8"/>
      <c r="L46" s="1"/>
      <c r="M46" s="1"/>
      <c r="N46" s="1"/>
      <c r="O46" s="1"/>
      <c r="P46" s="7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5" x14ac:dyDescent="0.25">
      <c r="A47" s="95" t="s">
        <v>70</v>
      </c>
      <c r="B47" s="62">
        <v>0</v>
      </c>
      <c r="C47" s="63">
        <v>0</v>
      </c>
      <c r="D47" s="64"/>
      <c r="E47" s="64"/>
      <c r="F47" s="64"/>
      <c r="G47" s="93" t="s">
        <v>9</v>
      </c>
      <c r="H47" s="1"/>
      <c r="I47" s="1"/>
      <c r="J47" s="1"/>
      <c r="K47" s="8"/>
      <c r="L47" s="1"/>
      <c r="M47" s="1"/>
      <c r="N47" s="1"/>
      <c r="O47" s="1"/>
      <c r="P47" s="7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5" x14ac:dyDescent="0.25">
      <c r="A48" s="76">
        <v>1988</v>
      </c>
      <c r="B48" s="60"/>
      <c r="C48" s="61"/>
      <c r="D48" s="61"/>
      <c r="E48" s="61"/>
      <c r="F48" s="61"/>
      <c r="G48" s="77"/>
      <c r="H48" s="1"/>
      <c r="I48" s="1"/>
      <c r="J48" s="1"/>
      <c r="K48" s="8"/>
      <c r="L48" s="1"/>
      <c r="M48" s="1"/>
      <c r="N48" s="1"/>
      <c r="O48" s="1"/>
      <c r="P48" s="7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5" x14ac:dyDescent="0.25">
      <c r="A49" s="94" t="s">
        <v>71</v>
      </c>
      <c r="B49" s="45">
        <v>0</v>
      </c>
      <c r="C49" s="46">
        <v>0</v>
      </c>
      <c r="D49" s="47"/>
      <c r="E49" s="47"/>
      <c r="F49" s="47"/>
      <c r="G49" s="91" t="s">
        <v>9</v>
      </c>
      <c r="H49" s="1"/>
      <c r="I49" s="1"/>
      <c r="J49" s="1"/>
      <c r="K49" s="8"/>
      <c r="L49" s="1"/>
      <c r="M49" s="1"/>
      <c r="N49" s="1"/>
      <c r="O49" s="1"/>
      <c r="P49" s="7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5" x14ac:dyDescent="0.25">
      <c r="A50" s="95" t="s">
        <v>72</v>
      </c>
      <c r="B50" s="62">
        <v>0</v>
      </c>
      <c r="C50" s="63">
        <v>0</v>
      </c>
      <c r="D50" s="64"/>
      <c r="E50" s="64"/>
      <c r="F50" s="64"/>
      <c r="G50" s="93" t="s">
        <v>9</v>
      </c>
      <c r="H50" s="1"/>
      <c r="I50" s="1"/>
      <c r="J50" s="1"/>
      <c r="K50" s="8"/>
      <c r="L50" s="1"/>
      <c r="M50" s="1"/>
      <c r="N50" s="1"/>
      <c r="O50" s="1"/>
      <c r="P50" s="7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5" x14ac:dyDescent="0.25">
      <c r="A51" s="94" t="s">
        <v>73</v>
      </c>
      <c r="B51" s="45">
        <v>0</v>
      </c>
      <c r="C51" s="46">
        <v>0</v>
      </c>
      <c r="D51" s="47"/>
      <c r="E51" s="47"/>
      <c r="F51" s="47"/>
      <c r="G51" s="91" t="s">
        <v>9</v>
      </c>
      <c r="H51" s="1"/>
      <c r="I51" s="1"/>
      <c r="J51" s="1"/>
      <c r="K51" s="8"/>
      <c r="L51" s="1"/>
      <c r="M51" s="1"/>
      <c r="N51" s="1"/>
      <c r="O51" s="1"/>
      <c r="P51" s="7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5" x14ac:dyDescent="0.25">
      <c r="A52" s="95" t="s">
        <v>74</v>
      </c>
      <c r="B52" s="62">
        <v>0</v>
      </c>
      <c r="C52" s="63">
        <v>0</v>
      </c>
      <c r="D52" s="64"/>
      <c r="E52" s="64"/>
      <c r="F52" s="64"/>
      <c r="G52" s="93" t="s">
        <v>9</v>
      </c>
      <c r="H52" s="1"/>
      <c r="I52" s="1"/>
      <c r="J52" s="1"/>
      <c r="K52" s="8"/>
      <c r="L52" s="1"/>
      <c r="M52" s="1"/>
      <c r="N52" s="1"/>
      <c r="O52" s="1"/>
      <c r="P52" s="7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5" x14ac:dyDescent="0.25">
      <c r="A53" s="94" t="s">
        <v>75</v>
      </c>
      <c r="B53" s="45">
        <v>0</v>
      </c>
      <c r="C53" s="46">
        <v>0</v>
      </c>
      <c r="D53" s="47"/>
      <c r="E53" s="47"/>
      <c r="F53" s="47"/>
      <c r="G53" s="91" t="s">
        <v>9</v>
      </c>
      <c r="H53" s="1"/>
      <c r="I53" s="1"/>
      <c r="J53" s="1"/>
      <c r="K53" s="8"/>
      <c r="L53" s="1"/>
      <c r="M53" s="1"/>
      <c r="N53" s="1"/>
      <c r="O53" s="1"/>
      <c r="P53" s="7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5" x14ac:dyDescent="0.25">
      <c r="A54" s="95" t="s">
        <v>76</v>
      </c>
      <c r="B54" s="62">
        <v>0</v>
      </c>
      <c r="C54" s="63">
        <v>0</v>
      </c>
      <c r="D54" s="64"/>
      <c r="E54" s="64"/>
      <c r="F54" s="64"/>
      <c r="G54" s="93" t="s">
        <v>9</v>
      </c>
      <c r="H54" s="1"/>
      <c r="I54" s="1"/>
      <c r="J54" s="1"/>
      <c r="K54" s="8"/>
      <c r="L54" s="1"/>
      <c r="M54" s="1"/>
      <c r="N54" s="1"/>
      <c r="O54" s="1"/>
      <c r="P54" s="7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5" x14ac:dyDescent="0.25">
      <c r="A55" s="94" t="s">
        <v>77</v>
      </c>
      <c r="B55" s="45">
        <v>0</v>
      </c>
      <c r="C55" s="46">
        <v>0</v>
      </c>
      <c r="D55" s="47"/>
      <c r="E55" s="47"/>
      <c r="F55" s="47"/>
      <c r="G55" s="91" t="s">
        <v>9</v>
      </c>
      <c r="H55" s="1"/>
      <c r="I55" s="1"/>
      <c r="J55" s="1"/>
      <c r="K55" s="8"/>
      <c r="L55" s="1"/>
      <c r="M55" s="1"/>
      <c r="N55" s="1"/>
      <c r="O55" s="1"/>
      <c r="P55" s="7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5" x14ac:dyDescent="0.25">
      <c r="A56" s="95" t="s">
        <v>78</v>
      </c>
      <c r="B56" s="62">
        <v>0</v>
      </c>
      <c r="C56" s="63">
        <v>0</v>
      </c>
      <c r="D56" s="64"/>
      <c r="E56" s="64"/>
      <c r="F56" s="64"/>
      <c r="G56" s="93" t="s">
        <v>9</v>
      </c>
      <c r="H56" s="1"/>
      <c r="I56" s="1"/>
      <c r="J56" s="1"/>
      <c r="K56" s="8"/>
      <c r="L56" s="1"/>
      <c r="M56" s="1"/>
      <c r="N56" s="1"/>
      <c r="O56" s="1"/>
      <c r="P56" s="7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5" x14ac:dyDescent="0.25">
      <c r="A57" s="94" t="s">
        <v>79</v>
      </c>
      <c r="B57" s="45">
        <v>0</v>
      </c>
      <c r="C57" s="46">
        <v>0</v>
      </c>
      <c r="D57" s="47"/>
      <c r="E57" s="47"/>
      <c r="F57" s="47"/>
      <c r="G57" s="91" t="s">
        <v>9</v>
      </c>
      <c r="H57" s="1"/>
      <c r="I57" s="1"/>
      <c r="J57" s="1"/>
      <c r="K57" s="8"/>
      <c r="L57" s="1"/>
      <c r="M57" s="1"/>
      <c r="N57" s="1"/>
      <c r="O57" s="1"/>
      <c r="P57" s="7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5" x14ac:dyDescent="0.25">
      <c r="A58" s="95" t="s">
        <v>80</v>
      </c>
      <c r="B58" s="62">
        <v>0</v>
      </c>
      <c r="C58" s="63">
        <v>0</v>
      </c>
      <c r="D58" s="64"/>
      <c r="E58" s="64"/>
      <c r="F58" s="64"/>
      <c r="G58" s="93" t="s">
        <v>9</v>
      </c>
      <c r="H58" s="1"/>
      <c r="I58" s="1"/>
      <c r="J58" s="1"/>
      <c r="K58" s="8"/>
      <c r="L58" s="1"/>
      <c r="M58" s="1"/>
      <c r="N58" s="1"/>
      <c r="O58" s="1"/>
      <c r="P58" s="7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5" x14ac:dyDescent="0.25">
      <c r="A59" s="94" t="s">
        <v>81</v>
      </c>
      <c r="B59" s="45">
        <v>0</v>
      </c>
      <c r="C59" s="46">
        <v>0</v>
      </c>
      <c r="D59" s="47"/>
      <c r="E59" s="47"/>
      <c r="F59" s="47"/>
      <c r="G59" s="91" t="s">
        <v>9</v>
      </c>
      <c r="H59" s="1"/>
      <c r="I59" s="1"/>
      <c r="J59" s="1"/>
      <c r="K59" s="8"/>
      <c r="L59" s="1"/>
      <c r="M59" s="1"/>
      <c r="N59" s="1"/>
      <c r="O59" s="1"/>
      <c r="P59" s="7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5" x14ac:dyDescent="0.25">
      <c r="A60" s="95" t="s">
        <v>82</v>
      </c>
      <c r="B60" s="62">
        <v>0</v>
      </c>
      <c r="C60" s="63">
        <v>0</v>
      </c>
      <c r="D60" s="64"/>
      <c r="E60" s="64"/>
      <c r="F60" s="64"/>
      <c r="G60" s="93" t="s">
        <v>9</v>
      </c>
      <c r="H60" s="1"/>
      <c r="I60" s="1"/>
      <c r="J60" s="1"/>
      <c r="K60" s="8"/>
      <c r="L60" s="1"/>
      <c r="M60" s="1"/>
      <c r="N60" s="1"/>
      <c r="O60" s="1"/>
      <c r="P60" s="7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5" x14ac:dyDescent="0.25">
      <c r="A61" s="76">
        <v>1989</v>
      </c>
      <c r="B61" s="60"/>
      <c r="C61" s="61"/>
      <c r="D61" s="61"/>
      <c r="E61" s="61"/>
      <c r="F61" s="61"/>
      <c r="G61" s="77"/>
      <c r="H61" s="1"/>
      <c r="I61" s="1"/>
      <c r="J61" s="1"/>
      <c r="K61" s="8"/>
      <c r="L61" s="1"/>
      <c r="M61" s="1"/>
      <c r="N61" s="1"/>
      <c r="O61" s="1"/>
      <c r="P61" s="7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5" x14ac:dyDescent="0.25">
      <c r="A62" s="94" t="s">
        <v>83</v>
      </c>
      <c r="B62" s="45">
        <v>0</v>
      </c>
      <c r="C62" s="46">
        <v>0</v>
      </c>
      <c r="D62" s="47"/>
      <c r="E62" s="47"/>
      <c r="F62" s="47"/>
      <c r="G62" s="91" t="s">
        <v>9</v>
      </c>
      <c r="H62" s="1"/>
      <c r="I62" s="1"/>
      <c r="J62" s="1"/>
      <c r="K62" s="8"/>
      <c r="L62" s="1"/>
      <c r="M62" s="1"/>
      <c r="N62" s="1"/>
      <c r="O62" s="1"/>
      <c r="P62" s="7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5" x14ac:dyDescent="0.25">
      <c r="A63" s="95" t="s">
        <v>84</v>
      </c>
      <c r="B63" s="62">
        <v>0</v>
      </c>
      <c r="C63" s="63">
        <v>0</v>
      </c>
      <c r="D63" s="64"/>
      <c r="E63" s="64"/>
      <c r="F63" s="64"/>
      <c r="G63" s="93" t="s">
        <v>9</v>
      </c>
      <c r="H63" s="1"/>
      <c r="I63" s="1"/>
      <c r="J63" s="1"/>
      <c r="K63" s="8"/>
      <c r="L63" s="1"/>
      <c r="M63" s="1"/>
      <c r="N63" s="1"/>
      <c r="O63" s="1"/>
      <c r="P63" s="7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5" x14ac:dyDescent="0.25">
      <c r="A64" s="94" t="s">
        <v>85</v>
      </c>
      <c r="B64" s="45">
        <v>0</v>
      </c>
      <c r="C64" s="46">
        <v>0</v>
      </c>
      <c r="D64" s="47"/>
      <c r="E64" s="47"/>
      <c r="F64" s="47"/>
      <c r="G64" s="91" t="s">
        <v>9</v>
      </c>
      <c r="H64" s="1"/>
      <c r="I64" s="1"/>
      <c r="J64" s="1"/>
      <c r="K64" s="8"/>
      <c r="L64" s="1"/>
      <c r="M64" s="1"/>
      <c r="N64" s="1"/>
      <c r="O64" s="1"/>
      <c r="P64" s="7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5" x14ac:dyDescent="0.25">
      <c r="A65" s="95" t="s">
        <v>86</v>
      </c>
      <c r="B65" s="62">
        <v>0</v>
      </c>
      <c r="C65" s="63">
        <v>0</v>
      </c>
      <c r="D65" s="64"/>
      <c r="E65" s="64"/>
      <c r="F65" s="64"/>
      <c r="G65" s="93" t="s">
        <v>9</v>
      </c>
      <c r="H65" s="1"/>
      <c r="I65" s="1"/>
      <c r="J65" s="1"/>
      <c r="K65" s="8"/>
      <c r="L65" s="1"/>
      <c r="M65" s="1"/>
      <c r="N65" s="1"/>
      <c r="O65" s="1"/>
      <c r="P65" s="7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5" x14ac:dyDescent="0.25">
      <c r="A66" s="94" t="s">
        <v>87</v>
      </c>
      <c r="B66" s="45">
        <v>0</v>
      </c>
      <c r="C66" s="46">
        <v>0</v>
      </c>
      <c r="D66" s="47"/>
      <c r="E66" s="47"/>
      <c r="F66" s="47"/>
      <c r="G66" s="91" t="s">
        <v>9</v>
      </c>
      <c r="H66" s="1"/>
      <c r="I66" s="1"/>
      <c r="J66" s="1"/>
      <c r="K66" s="8"/>
      <c r="L66" s="1"/>
      <c r="M66" s="1"/>
      <c r="N66" s="1"/>
      <c r="O66" s="1"/>
      <c r="P66" s="7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5" x14ac:dyDescent="0.25">
      <c r="A67" s="95" t="s">
        <v>88</v>
      </c>
      <c r="B67" s="62">
        <v>0</v>
      </c>
      <c r="C67" s="63">
        <v>0</v>
      </c>
      <c r="D67" s="64"/>
      <c r="E67" s="64"/>
      <c r="F67" s="64"/>
      <c r="G67" s="93" t="s">
        <v>9</v>
      </c>
      <c r="H67" s="1"/>
      <c r="I67" s="1"/>
      <c r="J67" s="1"/>
      <c r="K67" s="8"/>
      <c r="L67" s="1"/>
      <c r="M67" s="1"/>
      <c r="N67" s="1"/>
      <c r="O67" s="1"/>
      <c r="P67" s="7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5" x14ac:dyDescent="0.25">
      <c r="A68" s="94" t="s">
        <v>89</v>
      </c>
      <c r="B68" s="45">
        <v>0</v>
      </c>
      <c r="C68" s="46">
        <v>0</v>
      </c>
      <c r="D68" s="47"/>
      <c r="E68" s="47"/>
      <c r="F68" s="47"/>
      <c r="G68" s="91" t="s">
        <v>9</v>
      </c>
      <c r="H68" s="1"/>
      <c r="I68" s="1"/>
      <c r="J68" s="1"/>
      <c r="K68" s="8"/>
      <c r="L68" s="1"/>
      <c r="M68" s="1"/>
      <c r="N68" s="1"/>
      <c r="O68" s="1"/>
      <c r="P68" s="7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5" x14ac:dyDescent="0.25">
      <c r="A69" s="95" t="s">
        <v>90</v>
      </c>
      <c r="B69" s="62">
        <v>0</v>
      </c>
      <c r="C69" s="63">
        <v>0</v>
      </c>
      <c r="D69" s="64"/>
      <c r="E69" s="64"/>
      <c r="F69" s="64"/>
      <c r="G69" s="93" t="s">
        <v>9</v>
      </c>
      <c r="H69" s="1"/>
      <c r="I69" s="1"/>
      <c r="J69" s="1"/>
      <c r="K69" s="8"/>
      <c r="L69" s="1"/>
      <c r="M69" s="1"/>
      <c r="N69" s="1"/>
      <c r="O69" s="1"/>
      <c r="P69" s="7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5" x14ac:dyDescent="0.25">
      <c r="A70" s="94" t="s">
        <v>91</v>
      </c>
      <c r="B70" s="45">
        <v>0</v>
      </c>
      <c r="C70" s="46">
        <v>0</v>
      </c>
      <c r="D70" s="47"/>
      <c r="E70" s="47"/>
      <c r="F70" s="47"/>
      <c r="G70" s="91" t="s">
        <v>9</v>
      </c>
      <c r="H70" s="1"/>
      <c r="I70" s="1"/>
      <c r="J70" s="1"/>
      <c r="K70" s="8"/>
      <c r="L70" s="1"/>
      <c r="M70" s="1"/>
      <c r="N70" s="1"/>
      <c r="O70" s="1"/>
      <c r="P70" s="7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5" x14ac:dyDescent="0.25">
      <c r="A71" s="95" t="s">
        <v>92</v>
      </c>
      <c r="B71" s="62">
        <v>0</v>
      </c>
      <c r="C71" s="63">
        <v>0</v>
      </c>
      <c r="D71" s="64"/>
      <c r="E71" s="64"/>
      <c r="F71" s="64"/>
      <c r="G71" s="93" t="s">
        <v>9</v>
      </c>
      <c r="H71" s="1"/>
      <c r="I71" s="1"/>
      <c r="J71" s="1"/>
      <c r="K71" s="8"/>
      <c r="L71" s="1"/>
      <c r="M71" s="1"/>
      <c r="N71" s="1"/>
      <c r="O71" s="1"/>
      <c r="P71" s="7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5" x14ac:dyDescent="0.25">
      <c r="A72" s="94" t="s">
        <v>93</v>
      </c>
      <c r="B72" s="45">
        <v>0</v>
      </c>
      <c r="C72" s="46">
        <v>0</v>
      </c>
      <c r="D72" s="47"/>
      <c r="E72" s="47"/>
      <c r="F72" s="47"/>
      <c r="G72" s="91" t="s">
        <v>9</v>
      </c>
      <c r="H72" s="1"/>
      <c r="I72" s="1"/>
      <c r="J72" s="1"/>
      <c r="K72" s="8"/>
      <c r="L72" s="1"/>
      <c r="M72" s="1"/>
      <c r="N72" s="1"/>
      <c r="O72" s="1"/>
      <c r="P72" s="7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5" x14ac:dyDescent="0.25">
      <c r="A73" s="95" t="s">
        <v>94</v>
      </c>
      <c r="B73" s="62">
        <v>0</v>
      </c>
      <c r="C73" s="63">
        <v>0</v>
      </c>
      <c r="D73" s="64"/>
      <c r="E73" s="64"/>
      <c r="F73" s="64"/>
      <c r="G73" s="93" t="s">
        <v>9</v>
      </c>
      <c r="H73" s="1"/>
      <c r="I73" s="1"/>
      <c r="J73" s="1"/>
      <c r="K73" s="8"/>
      <c r="L73" s="1"/>
      <c r="M73" s="1"/>
      <c r="N73" s="1"/>
      <c r="O73" s="1"/>
      <c r="P73" s="7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5" x14ac:dyDescent="0.25">
      <c r="A74" s="76">
        <v>1990</v>
      </c>
      <c r="B74" s="60"/>
      <c r="C74" s="61"/>
      <c r="D74" s="61"/>
      <c r="E74" s="61"/>
      <c r="F74" s="61"/>
      <c r="G74" s="77"/>
      <c r="H74" s="1"/>
      <c r="I74" s="1"/>
      <c r="J74" s="1"/>
      <c r="K74" s="8"/>
      <c r="L74" s="1"/>
      <c r="M74" s="1"/>
      <c r="N74" s="1"/>
      <c r="O74" s="1"/>
      <c r="P74" s="7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5" x14ac:dyDescent="0.25">
      <c r="A75" s="94" t="s">
        <v>95</v>
      </c>
      <c r="B75" s="45">
        <v>0</v>
      </c>
      <c r="C75" s="46">
        <v>0</v>
      </c>
      <c r="D75" s="47"/>
      <c r="E75" s="47"/>
      <c r="F75" s="47"/>
      <c r="G75" s="91" t="s">
        <v>9</v>
      </c>
      <c r="H75" s="1"/>
      <c r="I75" s="1"/>
      <c r="J75" s="1"/>
      <c r="K75" s="8"/>
      <c r="L75" s="1"/>
      <c r="M75" s="1"/>
      <c r="N75" s="1"/>
      <c r="O75" s="1"/>
      <c r="P75" s="7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5" x14ac:dyDescent="0.25">
      <c r="A76" s="95" t="s">
        <v>96</v>
      </c>
      <c r="B76" s="62">
        <v>0</v>
      </c>
      <c r="C76" s="63">
        <v>0</v>
      </c>
      <c r="D76" s="64"/>
      <c r="E76" s="64"/>
      <c r="F76" s="64"/>
      <c r="G76" s="93" t="s">
        <v>9</v>
      </c>
      <c r="H76" s="1"/>
      <c r="I76" s="1"/>
      <c r="J76" s="1"/>
      <c r="K76" s="8"/>
      <c r="L76" s="1"/>
      <c r="M76" s="1"/>
      <c r="N76" s="1"/>
      <c r="O76" s="1"/>
      <c r="P76" s="7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5" x14ac:dyDescent="0.25">
      <c r="A77" s="94" t="s">
        <v>97</v>
      </c>
      <c r="B77" s="45">
        <v>0</v>
      </c>
      <c r="C77" s="46">
        <v>0</v>
      </c>
      <c r="D77" s="47"/>
      <c r="E77" s="47"/>
      <c r="F77" s="47"/>
      <c r="G77" s="91" t="s">
        <v>9</v>
      </c>
      <c r="H77" s="1"/>
      <c r="I77" s="1"/>
      <c r="J77" s="1"/>
      <c r="K77" s="8"/>
      <c r="L77" s="1"/>
      <c r="M77" s="1"/>
      <c r="N77" s="1"/>
      <c r="O77" s="1"/>
      <c r="P77" s="7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5" x14ac:dyDescent="0.25">
      <c r="A78" s="95" t="s">
        <v>98</v>
      </c>
      <c r="B78" s="62">
        <v>0</v>
      </c>
      <c r="C78" s="63">
        <v>0</v>
      </c>
      <c r="D78" s="64"/>
      <c r="E78" s="64"/>
      <c r="F78" s="64"/>
      <c r="G78" s="93" t="s">
        <v>9</v>
      </c>
      <c r="H78" s="1"/>
      <c r="I78" s="1"/>
      <c r="J78" s="1"/>
      <c r="K78" s="8"/>
      <c r="L78" s="1"/>
      <c r="M78" s="1"/>
      <c r="N78" s="1"/>
      <c r="O78" s="1"/>
      <c r="P78" s="7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5" x14ac:dyDescent="0.25">
      <c r="A79" s="94" t="s">
        <v>99</v>
      </c>
      <c r="B79" s="45">
        <v>0</v>
      </c>
      <c r="C79" s="46">
        <v>0</v>
      </c>
      <c r="D79" s="47"/>
      <c r="E79" s="47"/>
      <c r="F79" s="47"/>
      <c r="G79" s="91" t="s">
        <v>9</v>
      </c>
      <c r="H79" s="1"/>
      <c r="I79" s="1"/>
      <c r="J79" s="1"/>
      <c r="K79" s="8"/>
      <c r="L79" s="1"/>
      <c r="M79" s="1"/>
      <c r="N79" s="1"/>
      <c r="O79" s="1"/>
      <c r="P79" s="7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5" x14ac:dyDescent="0.25">
      <c r="A80" s="95" t="s">
        <v>100</v>
      </c>
      <c r="B80" s="62">
        <v>0</v>
      </c>
      <c r="C80" s="63">
        <v>0</v>
      </c>
      <c r="D80" s="64"/>
      <c r="E80" s="64"/>
      <c r="F80" s="64"/>
      <c r="G80" s="93" t="s">
        <v>9</v>
      </c>
      <c r="H80" s="1"/>
      <c r="I80" s="1"/>
      <c r="J80" s="1"/>
      <c r="K80" s="8"/>
      <c r="L80" s="1"/>
      <c r="M80" s="1"/>
      <c r="N80" s="1"/>
      <c r="O80" s="1"/>
      <c r="P80" s="7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5" x14ac:dyDescent="0.25">
      <c r="A81" s="94" t="s">
        <v>101</v>
      </c>
      <c r="B81" s="45">
        <v>0</v>
      </c>
      <c r="C81" s="46">
        <v>0</v>
      </c>
      <c r="D81" s="47"/>
      <c r="E81" s="47"/>
      <c r="F81" s="47"/>
      <c r="G81" s="91" t="s">
        <v>9</v>
      </c>
      <c r="H81" s="1"/>
      <c r="I81" s="1"/>
      <c r="J81" s="1"/>
      <c r="K81" s="8"/>
      <c r="L81" s="1"/>
      <c r="M81" s="1"/>
      <c r="N81" s="1"/>
      <c r="O81" s="1"/>
      <c r="P81" s="7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5" x14ac:dyDescent="0.25">
      <c r="A82" s="95" t="s">
        <v>102</v>
      </c>
      <c r="B82" s="62">
        <v>0</v>
      </c>
      <c r="C82" s="63">
        <v>0</v>
      </c>
      <c r="D82" s="64"/>
      <c r="E82" s="64"/>
      <c r="F82" s="64"/>
      <c r="G82" s="93" t="s">
        <v>9</v>
      </c>
      <c r="H82" s="1"/>
      <c r="I82" s="1"/>
      <c r="J82" s="1"/>
      <c r="K82" s="8"/>
      <c r="L82" s="1"/>
      <c r="M82" s="1"/>
      <c r="N82" s="1"/>
      <c r="O82" s="1"/>
      <c r="P82" s="7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5" x14ac:dyDescent="0.25">
      <c r="A83" s="94" t="s">
        <v>103</v>
      </c>
      <c r="B83" s="45">
        <v>0</v>
      </c>
      <c r="C83" s="46">
        <v>0</v>
      </c>
      <c r="D83" s="47"/>
      <c r="E83" s="47"/>
      <c r="F83" s="47"/>
      <c r="G83" s="91" t="s">
        <v>9</v>
      </c>
      <c r="H83" s="1"/>
      <c r="I83" s="1"/>
      <c r="J83" s="1"/>
      <c r="K83" s="8"/>
      <c r="L83" s="1"/>
      <c r="M83" s="1"/>
      <c r="N83" s="1"/>
      <c r="O83" s="1"/>
      <c r="P83" s="7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5" x14ac:dyDescent="0.25">
      <c r="A84" s="95" t="s">
        <v>104</v>
      </c>
      <c r="B84" s="62">
        <v>0</v>
      </c>
      <c r="C84" s="63">
        <v>0</v>
      </c>
      <c r="D84" s="64"/>
      <c r="E84" s="64"/>
      <c r="F84" s="64"/>
      <c r="G84" s="93" t="s">
        <v>9</v>
      </c>
      <c r="H84" s="1"/>
      <c r="I84" s="1"/>
      <c r="J84" s="1"/>
      <c r="K84" s="8"/>
      <c r="L84" s="1"/>
      <c r="M84" s="1"/>
      <c r="N84" s="1"/>
      <c r="O84" s="1"/>
      <c r="P84" s="7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5" x14ac:dyDescent="0.25">
      <c r="A85" s="94" t="s">
        <v>105</v>
      </c>
      <c r="B85" s="45">
        <v>0</v>
      </c>
      <c r="C85" s="46">
        <v>0</v>
      </c>
      <c r="D85" s="47"/>
      <c r="E85" s="47"/>
      <c r="F85" s="47"/>
      <c r="G85" s="91" t="s">
        <v>9</v>
      </c>
      <c r="H85" s="1"/>
      <c r="I85" s="1"/>
      <c r="J85" s="1"/>
      <c r="K85" s="8"/>
      <c r="L85" s="1"/>
      <c r="M85" s="1"/>
      <c r="N85" s="1"/>
      <c r="O85" s="1"/>
      <c r="P85" s="7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5" x14ac:dyDescent="0.25">
      <c r="A86" s="95" t="s">
        <v>106</v>
      </c>
      <c r="B86" s="62">
        <v>0</v>
      </c>
      <c r="C86" s="63">
        <v>0</v>
      </c>
      <c r="D86" s="64"/>
      <c r="E86" s="64"/>
      <c r="F86" s="64"/>
      <c r="G86" s="93" t="s">
        <v>9</v>
      </c>
      <c r="H86" s="1"/>
      <c r="I86" s="1"/>
      <c r="J86" s="1"/>
      <c r="K86" s="8"/>
      <c r="L86" s="1"/>
      <c r="M86" s="1"/>
      <c r="N86" s="1"/>
      <c r="O86" s="1"/>
      <c r="P86" s="7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5" x14ac:dyDescent="0.25">
      <c r="A87" s="76">
        <v>1991</v>
      </c>
      <c r="B87" s="60"/>
      <c r="C87" s="61"/>
      <c r="D87" s="61"/>
      <c r="E87" s="61"/>
      <c r="F87" s="61"/>
      <c r="G87" s="77"/>
      <c r="H87" s="1"/>
      <c r="I87" s="1"/>
      <c r="J87" s="1"/>
      <c r="K87" s="8"/>
      <c r="L87" s="1"/>
      <c r="M87" s="1"/>
      <c r="N87" s="1"/>
      <c r="O87" s="1"/>
      <c r="P87" s="7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5" x14ac:dyDescent="0.25">
      <c r="A88" s="94" t="s">
        <v>107</v>
      </c>
      <c r="B88" s="45">
        <v>0</v>
      </c>
      <c r="C88" s="46">
        <v>0</v>
      </c>
      <c r="D88" s="47"/>
      <c r="E88" s="47"/>
      <c r="F88" s="47"/>
      <c r="G88" s="91" t="s">
        <v>9</v>
      </c>
      <c r="H88" s="1"/>
      <c r="I88" s="1"/>
      <c r="J88" s="1"/>
      <c r="K88" s="8"/>
      <c r="L88" s="1"/>
      <c r="M88" s="1"/>
      <c r="N88" s="1"/>
      <c r="O88" s="1"/>
      <c r="P88" s="7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5" x14ac:dyDescent="0.25">
      <c r="A89" s="95" t="s">
        <v>108</v>
      </c>
      <c r="B89" s="62">
        <v>0</v>
      </c>
      <c r="C89" s="63">
        <v>0</v>
      </c>
      <c r="D89" s="64"/>
      <c r="E89" s="64"/>
      <c r="F89" s="64"/>
      <c r="G89" s="93" t="s">
        <v>9</v>
      </c>
      <c r="H89" s="1"/>
      <c r="I89" s="1"/>
      <c r="J89" s="1"/>
      <c r="K89" s="8"/>
      <c r="L89" s="1"/>
      <c r="M89" s="1"/>
      <c r="N89" s="1"/>
      <c r="O89" s="1"/>
      <c r="P89" s="7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5" x14ac:dyDescent="0.25">
      <c r="A90" s="94" t="s">
        <v>109</v>
      </c>
      <c r="B90" s="45">
        <v>0</v>
      </c>
      <c r="C90" s="46">
        <v>0</v>
      </c>
      <c r="D90" s="47"/>
      <c r="E90" s="47"/>
      <c r="F90" s="47"/>
      <c r="G90" s="91" t="s">
        <v>9</v>
      </c>
      <c r="H90" s="1"/>
      <c r="I90" s="1"/>
      <c r="J90" s="1"/>
      <c r="K90" s="8"/>
      <c r="L90" s="1"/>
      <c r="M90" s="1"/>
      <c r="N90" s="1"/>
      <c r="O90" s="1"/>
      <c r="P90" s="7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5" x14ac:dyDescent="0.25">
      <c r="A91" s="95" t="s">
        <v>110</v>
      </c>
      <c r="B91" s="62">
        <v>0</v>
      </c>
      <c r="C91" s="63">
        <v>0</v>
      </c>
      <c r="D91" s="64"/>
      <c r="E91" s="64"/>
      <c r="F91" s="64"/>
      <c r="G91" s="93" t="s">
        <v>9</v>
      </c>
      <c r="H91" s="1"/>
      <c r="I91" s="1"/>
      <c r="J91" s="1"/>
      <c r="K91" s="8"/>
      <c r="L91" s="1"/>
      <c r="M91" s="1"/>
      <c r="N91" s="1"/>
      <c r="O91" s="1"/>
      <c r="P91" s="7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5" x14ac:dyDescent="0.25">
      <c r="A92" s="94" t="s">
        <v>111</v>
      </c>
      <c r="B92" s="45">
        <v>0</v>
      </c>
      <c r="C92" s="46">
        <v>0</v>
      </c>
      <c r="D92" s="47"/>
      <c r="E92" s="47"/>
      <c r="F92" s="47"/>
      <c r="G92" s="91" t="s">
        <v>9</v>
      </c>
      <c r="H92" s="1"/>
      <c r="I92" s="1"/>
      <c r="J92" s="1"/>
      <c r="K92" s="8"/>
      <c r="L92" s="1"/>
      <c r="M92" s="1"/>
      <c r="N92" s="1"/>
      <c r="O92" s="1"/>
      <c r="P92" s="7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5" x14ac:dyDescent="0.25">
      <c r="A93" s="95" t="s">
        <v>112</v>
      </c>
      <c r="B93" s="62">
        <v>0</v>
      </c>
      <c r="C93" s="63">
        <v>0</v>
      </c>
      <c r="D93" s="64"/>
      <c r="E93" s="64"/>
      <c r="F93" s="64"/>
      <c r="G93" s="93" t="s">
        <v>9</v>
      </c>
      <c r="H93" s="1"/>
      <c r="I93" s="1"/>
      <c r="J93" s="1"/>
      <c r="K93" s="8"/>
      <c r="L93" s="1"/>
      <c r="M93" s="1"/>
      <c r="N93" s="1"/>
      <c r="O93" s="1"/>
      <c r="P93" s="7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5" x14ac:dyDescent="0.25">
      <c r="A94" s="94" t="s">
        <v>113</v>
      </c>
      <c r="B94" s="45">
        <v>0</v>
      </c>
      <c r="C94" s="46">
        <v>0</v>
      </c>
      <c r="D94" s="47"/>
      <c r="E94" s="47"/>
      <c r="F94" s="47"/>
      <c r="G94" s="91" t="s">
        <v>9</v>
      </c>
      <c r="H94" s="1"/>
      <c r="I94" s="1"/>
      <c r="J94" s="1"/>
      <c r="K94" s="8"/>
      <c r="L94" s="1"/>
      <c r="M94" s="1"/>
      <c r="N94" s="1"/>
      <c r="O94" s="1"/>
      <c r="P94" s="7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5" x14ac:dyDescent="0.25">
      <c r="A95" s="95" t="s">
        <v>114</v>
      </c>
      <c r="B95" s="62">
        <v>0</v>
      </c>
      <c r="C95" s="63">
        <v>0</v>
      </c>
      <c r="D95" s="64"/>
      <c r="E95" s="64"/>
      <c r="F95" s="64"/>
      <c r="G95" s="93" t="s">
        <v>9</v>
      </c>
      <c r="H95" s="1"/>
      <c r="I95" s="1"/>
      <c r="J95" s="1"/>
      <c r="K95" s="8"/>
      <c r="L95" s="1"/>
      <c r="M95" s="1"/>
      <c r="N95" s="1"/>
      <c r="O95" s="1"/>
      <c r="P95" s="7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5" x14ac:dyDescent="0.25">
      <c r="A96" s="94" t="s">
        <v>115</v>
      </c>
      <c r="B96" s="45">
        <v>0</v>
      </c>
      <c r="C96" s="46">
        <v>0</v>
      </c>
      <c r="D96" s="47"/>
      <c r="E96" s="47"/>
      <c r="F96" s="47"/>
      <c r="G96" s="91" t="s">
        <v>9</v>
      </c>
      <c r="H96" s="1"/>
      <c r="I96" s="1"/>
      <c r="J96" s="1"/>
      <c r="K96" s="8"/>
      <c r="L96" s="1"/>
      <c r="M96" s="1"/>
      <c r="N96" s="1"/>
      <c r="O96" s="1"/>
      <c r="P96" s="7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5" x14ac:dyDescent="0.25">
      <c r="A97" s="95" t="s">
        <v>116</v>
      </c>
      <c r="B97" s="62">
        <v>0</v>
      </c>
      <c r="C97" s="63">
        <v>0</v>
      </c>
      <c r="D97" s="64"/>
      <c r="E97" s="64"/>
      <c r="F97" s="64"/>
      <c r="G97" s="93" t="s">
        <v>9</v>
      </c>
      <c r="H97" s="1"/>
      <c r="I97" s="1"/>
      <c r="J97" s="1"/>
      <c r="K97" s="8"/>
      <c r="L97" s="1"/>
      <c r="M97" s="1"/>
      <c r="N97" s="1"/>
      <c r="O97" s="1"/>
      <c r="P97" s="7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5" x14ac:dyDescent="0.25">
      <c r="A98" s="94" t="s">
        <v>117</v>
      </c>
      <c r="B98" s="45">
        <v>0</v>
      </c>
      <c r="C98" s="46">
        <v>0</v>
      </c>
      <c r="D98" s="47"/>
      <c r="E98" s="47"/>
      <c r="F98" s="47"/>
      <c r="G98" s="91" t="s">
        <v>9</v>
      </c>
      <c r="H98" s="1"/>
      <c r="I98" s="1"/>
      <c r="J98" s="1"/>
      <c r="K98" s="8"/>
      <c r="L98" s="1"/>
      <c r="M98" s="1"/>
      <c r="N98" s="1"/>
      <c r="O98" s="1"/>
      <c r="P98" s="7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5" x14ac:dyDescent="0.25">
      <c r="A99" s="95" t="s">
        <v>118</v>
      </c>
      <c r="B99" s="62">
        <v>0</v>
      </c>
      <c r="C99" s="63">
        <v>0</v>
      </c>
      <c r="D99" s="64"/>
      <c r="E99" s="64"/>
      <c r="F99" s="64"/>
      <c r="G99" s="93" t="s">
        <v>9</v>
      </c>
      <c r="H99" s="1"/>
      <c r="I99" s="1"/>
      <c r="J99" s="1"/>
      <c r="K99" s="8"/>
      <c r="L99" s="1"/>
      <c r="M99" s="1"/>
      <c r="N99" s="1"/>
      <c r="O99" s="1"/>
      <c r="P99" s="7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5" x14ac:dyDescent="0.25">
      <c r="A100" s="76">
        <v>1992</v>
      </c>
      <c r="B100" s="60"/>
      <c r="C100" s="61"/>
      <c r="D100" s="61"/>
      <c r="E100" s="61"/>
      <c r="F100" s="61"/>
      <c r="G100" s="77"/>
      <c r="H100" s="1"/>
      <c r="I100" s="1"/>
      <c r="J100" s="1"/>
      <c r="K100" s="8"/>
      <c r="L100" s="1"/>
      <c r="M100" s="1"/>
      <c r="N100" s="1"/>
      <c r="O100" s="1"/>
      <c r="P100" s="7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5" x14ac:dyDescent="0.25">
      <c r="A101" s="94" t="s">
        <v>119</v>
      </c>
      <c r="B101" s="45">
        <v>0</v>
      </c>
      <c r="C101" s="46">
        <v>0</v>
      </c>
      <c r="D101" s="47"/>
      <c r="E101" s="47"/>
      <c r="F101" s="47"/>
      <c r="G101" s="91" t="s">
        <v>9</v>
      </c>
      <c r="H101" s="1"/>
      <c r="I101" s="1"/>
      <c r="J101" s="1"/>
      <c r="K101" s="8"/>
      <c r="L101" s="1"/>
      <c r="M101" s="1"/>
      <c r="N101" s="1"/>
      <c r="O101" s="1"/>
      <c r="P101" s="7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5" x14ac:dyDescent="0.25">
      <c r="A102" s="95" t="s">
        <v>120</v>
      </c>
      <c r="B102" s="62">
        <v>0</v>
      </c>
      <c r="C102" s="63">
        <v>0</v>
      </c>
      <c r="D102" s="64"/>
      <c r="E102" s="64"/>
      <c r="F102" s="64"/>
      <c r="G102" s="93" t="s">
        <v>9</v>
      </c>
      <c r="H102" s="1"/>
      <c r="I102" s="1"/>
      <c r="J102" s="1"/>
      <c r="K102" s="8"/>
      <c r="L102" s="1"/>
      <c r="M102" s="1"/>
      <c r="N102" s="1"/>
      <c r="O102" s="1"/>
      <c r="P102" s="7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5" x14ac:dyDescent="0.25">
      <c r="A103" s="94" t="s">
        <v>121</v>
      </c>
      <c r="B103" s="45">
        <v>0</v>
      </c>
      <c r="C103" s="46">
        <v>0</v>
      </c>
      <c r="D103" s="47"/>
      <c r="E103" s="47"/>
      <c r="F103" s="47"/>
      <c r="G103" s="91" t="s">
        <v>9</v>
      </c>
      <c r="H103" s="1"/>
      <c r="I103" s="1"/>
      <c r="J103" s="1"/>
      <c r="K103" s="8"/>
      <c r="L103" s="1"/>
      <c r="M103" s="1"/>
      <c r="N103" s="1"/>
      <c r="O103" s="1"/>
      <c r="P103" s="7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5" x14ac:dyDescent="0.25">
      <c r="A104" s="95" t="s">
        <v>122</v>
      </c>
      <c r="B104" s="62">
        <v>0</v>
      </c>
      <c r="C104" s="63">
        <v>0</v>
      </c>
      <c r="D104" s="64"/>
      <c r="E104" s="64"/>
      <c r="F104" s="64"/>
      <c r="G104" s="93" t="s">
        <v>9</v>
      </c>
      <c r="H104" s="1"/>
      <c r="I104" s="1"/>
      <c r="J104" s="1"/>
      <c r="K104" s="8"/>
      <c r="L104" s="1"/>
      <c r="M104" s="1"/>
      <c r="N104" s="1"/>
      <c r="O104" s="1"/>
      <c r="P104" s="7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5" x14ac:dyDescent="0.25">
      <c r="A105" s="94" t="s">
        <v>123</v>
      </c>
      <c r="B105" s="45">
        <v>0</v>
      </c>
      <c r="C105" s="46">
        <v>0</v>
      </c>
      <c r="D105" s="47"/>
      <c r="E105" s="47"/>
      <c r="F105" s="47"/>
      <c r="G105" s="91" t="s">
        <v>9</v>
      </c>
      <c r="H105" s="1"/>
      <c r="I105" s="1"/>
      <c r="J105" s="1"/>
      <c r="K105" s="8"/>
      <c r="L105" s="1"/>
      <c r="M105" s="1"/>
      <c r="N105" s="1"/>
      <c r="O105" s="1"/>
      <c r="P105" s="7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5" x14ac:dyDescent="0.25">
      <c r="A106" s="95" t="s">
        <v>124</v>
      </c>
      <c r="B106" s="62">
        <v>0</v>
      </c>
      <c r="C106" s="63">
        <v>0</v>
      </c>
      <c r="D106" s="64"/>
      <c r="E106" s="64"/>
      <c r="F106" s="64"/>
      <c r="G106" s="93" t="s">
        <v>9</v>
      </c>
      <c r="H106" s="1"/>
      <c r="I106" s="1"/>
      <c r="J106" s="1"/>
      <c r="K106" s="8"/>
      <c r="L106" s="1"/>
      <c r="M106" s="1"/>
      <c r="N106" s="1"/>
      <c r="O106" s="1"/>
      <c r="P106" s="7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5" x14ac:dyDescent="0.25">
      <c r="A107" s="94" t="s">
        <v>125</v>
      </c>
      <c r="B107" s="45">
        <v>0</v>
      </c>
      <c r="C107" s="46">
        <v>0</v>
      </c>
      <c r="D107" s="47"/>
      <c r="E107" s="47"/>
      <c r="F107" s="47"/>
      <c r="G107" s="91" t="s">
        <v>9</v>
      </c>
      <c r="H107" s="1"/>
      <c r="I107" s="1"/>
      <c r="J107" s="1"/>
      <c r="K107" s="8"/>
      <c r="L107" s="1"/>
      <c r="M107" s="1"/>
      <c r="N107" s="1"/>
      <c r="O107" s="1"/>
      <c r="P107" s="7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5" x14ac:dyDescent="0.25">
      <c r="A108" s="95" t="s">
        <v>126</v>
      </c>
      <c r="B108" s="62">
        <v>0</v>
      </c>
      <c r="C108" s="63">
        <v>0</v>
      </c>
      <c r="D108" s="64"/>
      <c r="E108" s="64"/>
      <c r="F108" s="64"/>
      <c r="G108" s="93" t="s">
        <v>9</v>
      </c>
      <c r="H108" s="1"/>
      <c r="I108" s="1"/>
      <c r="J108" s="1"/>
      <c r="K108" s="8"/>
      <c r="L108" s="1"/>
      <c r="M108" s="1"/>
      <c r="N108" s="1"/>
      <c r="O108" s="1"/>
      <c r="P108" s="7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5" x14ac:dyDescent="0.25">
      <c r="A109" s="94" t="s">
        <v>127</v>
      </c>
      <c r="B109" s="45">
        <v>0</v>
      </c>
      <c r="C109" s="46">
        <v>0</v>
      </c>
      <c r="D109" s="47"/>
      <c r="E109" s="47"/>
      <c r="F109" s="47"/>
      <c r="G109" s="91" t="s">
        <v>9</v>
      </c>
      <c r="H109" s="1"/>
      <c r="I109" s="1"/>
      <c r="J109" s="1"/>
      <c r="K109" s="8"/>
      <c r="L109" s="1"/>
      <c r="M109" s="1"/>
      <c r="N109" s="1"/>
      <c r="O109" s="1"/>
      <c r="P109" s="7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5" x14ac:dyDescent="0.25">
      <c r="A110" s="95" t="s">
        <v>128</v>
      </c>
      <c r="B110" s="62">
        <v>0</v>
      </c>
      <c r="C110" s="63">
        <v>0</v>
      </c>
      <c r="D110" s="64"/>
      <c r="E110" s="64"/>
      <c r="F110" s="64"/>
      <c r="G110" s="93" t="s">
        <v>9</v>
      </c>
      <c r="H110" s="1"/>
      <c r="I110" s="1"/>
      <c r="J110" s="1"/>
      <c r="K110" s="8"/>
      <c r="L110" s="1"/>
      <c r="M110" s="1"/>
      <c r="N110" s="1"/>
      <c r="O110" s="1"/>
      <c r="P110" s="7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5" x14ac:dyDescent="0.25">
      <c r="A111" s="94" t="s">
        <v>129</v>
      </c>
      <c r="B111" s="45">
        <v>0</v>
      </c>
      <c r="C111" s="46">
        <v>0</v>
      </c>
      <c r="D111" s="47"/>
      <c r="E111" s="47"/>
      <c r="F111" s="47"/>
      <c r="G111" s="91" t="s">
        <v>9</v>
      </c>
      <c r="H111" s="1"/>
      <c r="I111" s="1"/>
      <c r="J111" s="1"/>
      <c r="K111" s="8"/>
      <c r="L111" s="1"/>
      <c r="M111" s="1"/>
      <c r="N111" s="1"/>
      <c r="O111" s="1"/>
      <c r="P111" s="7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5" x14ac:dyDescent="0.25">
      <c r="A112" s="95" t="s">
        <v>130</v>
      </c>
      <c r="B112" s="62">
        <v>0</v>
      </c>
      <c r="C112" s="63">
        <v>0</v>
      </c>
      <c r="D112" s="64"/>
      <c r="E112" s="64"/>
      <c r="F112" s="64"/>
      <c r="G112" s="93" t="s">
        <v>9</v>
      </c>
      <c r="H112" s="1"/>
      <c r="I112" s="1"/>
      <c r="J112" s="1"/>
      <c r="K112" s="8"/>
      <c r="L112" s="1"/>
      <c r="M112" s="1"/>
      <c r="N112" s="1"/>
      <c r="O112" s="1"/>
      <c r="P112" s="7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5" x14ac:dyDescent="0.25">
      <c r="A113" s="76">
        <v>1993</v>
      </c>
      <c r="B113" s="60"/>
      <c r="C113" s="61"/>
      <c r="D113" s="61"/>
      <c r="E113" s="61"/>
      <c r="F113" s="61"/>
      <c r="G113" s="77"/>
      <c r="H113" s="1"/>
      <c r="I113" s="1"/>
      <c r="J113" s="1"/>
      <c r="K113" s="8"/>
      <c r="L113" s="1"/>
      <c r="M113" s="1"/>
      <c r="N113" s="1"/>
      <c r="O113" s="1"/>
      <c r="P113" s="7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5" x14ac:dyDescent="0.25">
      <c r="A114" s="94" t="s">
        <v>131</v>
      </c>
      <c r="B114" s="45">
        <v>0</v>
      </c>
      <c r="C114" s="46">
        <v>0</v>
      </c>
      <c r="D114" s="47"/>
      <c r="E114" s="47"/>
      <c r="F114" s="47"/>
      <c r="G114" s="91" t="s">
        <v>9</v>
      </c>
      <c r="H114" s="1"/>
      <c r="I114" s="1"/>
      <c r="J114" s="1"/>
      <c r="K114" s="8"/>
      <c r="L114" s="1"/>
      <c r="M114" s="1"/>
      <c r="N114" s="1"/>
      <c r="O114" s="1"/>
      <c r="P114" s="7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5" x14ac:dyDescent="0.25">
      <c r="A115" s="95" t="s">
        <v>132</v>
      </c>
      <c r="B115" s="62">
        <v>0</v>
      </c>
      <c r="C115" s="63">
        <v>0</v>
      </c>
      <c r="D115" s="64"/>
      <c r="E115" s="64"/>
      <c r="F115" s="64"/>
      <c r="G115" s="93" t="s">
        <v>9</v>
      </c>
      <c r="H115" s="1"/>
      <c r="I115" s="1"/>
      <c r="J115" s="1"/>
      <c r="K115" s="8"/>
      <c r="L115" s="1"/>
      <c r="M115" s="1"/>
      <c r="N115" s="1"/>
      <c r="O115" s="1"/>
      <c r="P115" s="7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5" x14ac:dyDescent="0.25">
      <c r="A116" s="94" t="s">
        <v>133</v>
      </c>
      <c r="B116" s="45">
        <v>0</v>
      </c>
      <c r="C116" s="46">
        <v>0</v>
      </c>
      <c r="D116" s="47"/>
      <c r="E116" s="47"/>
      <c r="F116" s="47"/>
      <c r="G116" s="91" t="s">
        <v>9</v>
      </c>
      <c r="H116" s="1"/>
      <c r="I116" s="1"/>
      <c r="J116" s="1"/>
      <c r="K116" s="8"/>
      <c r="L116" s="1"/>
      <c r="M116" s="1"/>
      <c r="N116" s="1"/>
      <c r="O116" s="1"/>
      <c r="P116" s="7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5" x14ac:dyDescent="0.25">
      <c r="A117" s="95" t="s">
        <v>134</v>
      </c>
      <c r="B117" s="62">
        <v>0</v>
      </c>
      <c r="C117" s="63">
        <v>0</v>
      </c>
      <c r="D117" s="64"/>
      <c r="E117" s="64"/>
      <c r="F117" s="64"/>
      <c r="G117" s="93" t="s">
        <v>9</v>
      </c>
      <c r="H117" s="1"/>
      <c r="I117" s="1"/>
      <c r="J117" s="1"/>
      <c r="K117" s="8"/>
      <c r="L117" s="1"/>
      <c r="M117" s="1"/>
      <c r="N117" s="1"/>
      <c r="O117" s="1"/>
      <c r="P117" s="7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5" x14ac:dyDescent="0.25">
      <c r="A118" s="94" t="s">
        <v>135</v>
      </c>
      <c r="B118" s="45">
        <v>0</v>
      </c>
      <c r="C118" s="46">
        <v>0</v>
      </c>
      <c r="D118" s="47"/>
      <c r="E118" s="47"/>
      <c r="F118" s="47"/>
      <c r="G118" s="91" t="s">
        <v>9</v>
      </c>
      <c r="H118" s="1"/>
      <c r="I118" s="1"/>
      <c r="J118" s="1"/>
      <c r="K118" s="8"/>
      <c r="L118" s="1"/>
      <c r="M118" s="1"/>
      <c r="N118" s="1"/>
      <c r="O118" s="1"/>
      <c r="P118" s="7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5" x14ac:dyDescent="0.25">
      <c r="A119" s="95" t="s">
        <v>136</v>
      </c>
      <c r="B119" s="62">
        <v>0</v>
      </c>
      <c r="C119" s="63">
        <v>0</v>
      </c>
      <c r="D119" s="64"/>
      <c r="E119" s="64"/>
      <c r="F119" s="64"/>
      <c r="G119" s="93" t="s">
        <v>9</v>
      </c>
      <c r="H119" s="1"/>
      <c r="I119" s="1"/>
      <c r="J119" s="1"/>
      <c r="K119" s="8"/>
      <c r="L119" s="1"/>
      <c r="M119" s="1"/>
      <c r="N119" s="1"/>
      <c r="O119" s="1"/>
      <c r="P119" s="7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5" x14ac:dyDescent="0.25">
      <c r="A120" s="94" t="s">
        <v>137</v>
      </c>
      <c r="B120" s="45">
        <v>0</v>
      </c>
      <c r="C120" s="46">
        <v>0</v>
      </c>
      <c r="D120" s="47"/>
      <c r="E120" s="47"/>
      <c r="F120" s="47"/>
      <c r="G120" s="91" t="s">
        <v>9</v>
      </c>
      <c r="H120" s="1"/>
      <c r="I120" s="1"/>
      <c r="J120" s="1"/>
      <c r="K120" s="8"/>
      <c r="L120" s="1"/>
      <c r="M120" s="1"/>
      <c r="N120" s="1"/>
      <c r="O120" s="1"/>
      <c r="P120" s="7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5" x14ac:dyDescent="0.25">
      <c r="A121" s="95" t="s">
        <v>138</v>
      </c>
      <c r="B121" s="62">
        <v>0</v>
      </c>
      <c r="C121" s="63">
        <v>0</v>
      </c>
      <c r="D121" s="64"/>
      <c r="E121" s="64"/>
      <c r="F121" s="64"/>
      <c r="G121" s="93" t="s">
        <v>9</v>
      </c>
      <c r="H121" s="1"/>
      <c r="I121" s="1"/>
      <c r="J121" s="1"/>
      <c r="K121" s="8"/>
      <c r="L121" s="1"/>
      <c r="M121" s="1"/>
      <c r="N121" s="1"/>
      <c r="O121" s="1"/>
      <c r="P121" s="7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5" x14ac:dyDescent="0.25">
      <c r="A122" s="94" t="s">
        <v>139</v>
      </c>
      <c r="B122" s="45">
        <v>0</v>
      </c>
      <c r="C122" s="46">
        <v>0</v>
      </c>
      <c r="D122" s="47"/>
      <c r="E122" s="47"/>
      <c r="F122" s="47"/>
      <c r="G122" s="91" t="s">
        <v>9</v>
      </c>
      <c r="H122" s="1"/>
      <c r="I122" s="1"/>
      <c r="J122" s="1"/>
      <c r="K122" s="8"/>
      <c r="L122" s="1"/>
      <c r="M122" s="1"/>
      <c r="N122" s="1"/>
      <c r="O122" s="1"/>
      <c r="P122" s="7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5" x14ac:dyDescent="0.25">
      <c r="A123" s="95" t="s">
        <v>140</v>
      </c>
      <c r="B123" s="62">
        <v>0</v>
      </c>
      <c r="C123" s="63">
        <v>0</v>
      </c>
      <c r="D123" s="64"/>
      <c r="E123" s="64"/>
      <c r="F123" s="64"/>
      <c r="G123" s="93" t="s">
        <v>9</v>
      </c>
      <c r="H123" s="1"/>
      <c r="I123" s="1"/>
      <c r="J123" s="1"/>
      <c r="K123" s="8"/>
      <c r="L123" s="1"/>
      <c r="M123" s="1"/>
      <c r="N123" s="1"/>
      <c r="O123" s="1"/>
      <c r="P123" s="7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5" x14ac:dyDescent="0.25">
      <c r="A124" s="94" t="s">
        <v>141</v>
      </c>
      <c r="B124" s="45">
        <v>0</v>
      </c>
      <c r="C124" s="46">
        <v>0</v>
      </c>
      <c r="D124" s="47"/>
      <c r="E124" s="47"/>
      <c r="F124" s="47"/>
      <c r="G124" s="91" t="s">
        <v>9</v>
      </c>
      <c r="H124" s="1"/>
      <c r="I124" s="1"/>
      <c r="J124" s="1"/>
      <c r="K124" s="8"/>
      <c r="L124" s="1"/>
      <c r="M124" s="1"/>
      <c r="N124" s="1"/>
      <c r="O124" s="1"/>
      <c r="P124" s="7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5" x14ac:dyDescent="0.25">
      <c r="A125" s="95" t="s">
        <v>142</v>
      </c>
      <c r="B125" s="62">
        <v>0</v>
      </c>
      <c r="C125" s="63">
        <v>0</v>
      </c>
      <c r="D125" s="64"/>
      <c r="E125" s="64"/>
      <c r="F125" s="64"/>
      <c r="G125" s="93" t="s">
        <v>9</v>
      </c>
      <c r="H125" s="1"/>
      <c r="I125" s="1"/>
      <c r="J125" s="1"/>
      <c r="K125" s="8"/>
      <c r="L125" s="1"/>
      <c r="M125" s="1"/>
      <c r="N125" s="1"/>
      <c r="O125" s="1"/>
      <c r="P125" s="7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5" x14ac:dyDescent="0.25">
      <c r="A126" s="76">
        <v>1994</v>
      </c>
      <c r="B126" s="60"/>
      <c r="C126" s="61"/>
      <c r="D126" s="61"/>
      <c r="E126" s="61"/>
      <c r="F126" s="61"/>
      <c r="G126" s="77"/>
      <c r="H126" s="1"/>
      <c r="I126" s="1"/>
      <c r="J126" s="1"/>
      <c r="K126" s="8"/>
      <c r="L126" s="1"/>
      <c r="M126" s="1"/>
      <c r="N126" s="1"/>
      <c r="O126" s="1"/>
      <c r="P126" s="7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5" x14ac:dyDescent="0.25">
      <c r="A127" s="94" t="s">
        <v>143</v>
      </c>
      <c r="B127" s="45">
        <v>0</v>
      </c>
      <c r="C127" s="46">
        <v>0</v>
      </c>
      <c r="D127" s="47"/>
      <c r="E127" s="47"/>
      <c r="F127" s="47"/>
      <c r="G127" s="91" t="s">
        <v>9</v>
      </c>
      <c r="H127" s="1"/>
      <c r="I127" s="1"/>
      <c r="J127" s="1"/>
      <c r="K127" s="8"/>
      <c r="L127" s="1"/>
      <c r="M127" s="1"/>
      <c r="N127" s="1"/>
      <c r="O127" s="1"/>
      <c r="P127" s="7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5" x14ac:dyDescent="0.25">
      <c r="A128" s="95" t="s">
        <v>144</v>
      </c>
      <c r="B128" s="62">
        <v>0</v>
      </c>
      <c r="C128" s="63">
        <v>0</v>
      </c>
      <c r="D128" s="64"/>
      <c r="E128" s="64"/>
      <c r="F128" s="64"/>
      <c r="G128" s="93" t="s">
        <v>9</v>
      </c>
      <c r="H128" s="1"/>
      <c r="I128" s="1"/>
      <c r="J128" s="1"/>
      <c r="K128" s="8"/>
      <c r="L128" s="1"/>
      <c r="M128" s="1"/>
      <c r="N128" s="1"/>
      <c r="O128" s="1"/>
      <c r="P128" s="7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5" x14ac:dyDescent="0.25">
      <c r="A129" s="94" t="s">
        <v>145</v>
      </c>
      <c r="B129" s="45">
        <v>0</v>
      </c>
      <c r="C129" s="46">
        <v>0</v>
      </c>
      <c r="D129" s="47"/>
      <c r="E129" s="47"/>
      <c r="F129" s="47"/>
      <c r="G129" s="91" t="s">
        <v>9</v>
      </c>
      <c r="H129" s="1"/>
      <c r="I129" s="1"/>
      <c r="J129" s="1"/>
      <c r="K129" s="8"/>
      <c r="L129" s="1"/>
      <c r="M129" s="1"/>
      <c r="N129" s="1"/>
      <c r="O129" s="1"/>
      <c r="P129" s="7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5" x14ac:dyDescent="0.25">
      <c r="A130" s="95" t="s">
        <v>146</v>
      </c>
      <c r="B130" s="62">
        <v>0</v>
      </c>
      <c r="C130" s="63">
        <v>0</v>
      </c>
      <c r="D130" s="64"/>
      <c r="E130" s="64"/>
      <c r="F130" s="64"/>
      <c r="G130" s="93" t="s">
        <v>9</v>
      </c>
      <c r="H130" s="1"/>
      <c r="I130" s="1"/>
      <c r="J130" s="1"/>
      <c r="K130" s="8"/>
      <c r="L130" s="1"/>
      <c r="M130" s="1"/>
      <c r="N130" s="1"/>
      <c r="O130" s="1"/>
      <c r="P130" s="7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5" x14ac:dyDescent="0.25">
      <c r="A131" s="94" t="s">
        <v>147</v>
      </c>
      <c r="B131" s="45">
        <v>0</v>
      </c>
      <c r="C131" s="46">
        <v>0</v>
      </c>
      <c r="D131" s="47"/>
      <c r="E131" s="47"/>
      <c r="F131" s="47"/>
      <c r="G131" s="91" t="s">
        <v>9</v>
      </c>
      <c r="H131" s="1"/>
      <c r="I131" s="1"/>
      <c r="J131" s="1"/>
      <c r="K131" s="8"/>
      <c r="L131" s="1"/>
      <c r="M131" s="1"/>
      <c r="N131" s="1"/>
      <c r="O131" s="1"/>
      <c r="P131" s="7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5" x14ac:dyDescent="0.25">
      <c r="A132" s="95" t="s">
        <v>148</v>
      </c>
      <c r="B132" s="62">
        <v>0</v>
      </c>
      <c r="C132" s="63">
        <v>0</v>
      </c>
      <c r="D132" s="64"/>
      <c r="E132" s="64"/>
      <c r="F132" s="64"/>
      <c r="G132" s="93" t="s">
        <v>9</v>
      </c>
      <c r="H132" s="1"/>
      <c r="I132" s="1"/>
      <c r="J132" s="1"/>
      <c r="K132" s="8"/>
      <c r="L132" s="1"/>
      <c r="M132" s="1"/>
      <c r="N132" s="1"/>
      <c r="O132" s="1"/>
      <c r="P132" s="7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5" x14ac:dyDescent="0.25">
      <c r="A133" s="94" t="s">
        <v>149</v>
      </c>
      <c r="B133" s="45">
        <v>0</v>
      </c>
      <c r="C133" s="46">
        <v>0</v>
      </c>
      <c r="D133" s="47"/>
      <c r="E133" s="47"/>
      <c r="F133" s="47"/>
      <c r="G133" s="91" t="s">
        <v>9</v>
      </c>
      <c r="H133" s="1"/>
      <c r="I133" s="1"/>
      <c r="J133" s="1"/>
      <c r="K133" s="8"/>
      <c r="L133" s="1"/>
      <c r="M133" s="1"/>
      <c r="N133" s="1"/>
      <c r="O133" s="1"/>
      <c r="P133" s="7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5" x14ac:dyDescent="0.25">
      <c r="A134" s="95" t="s">
        <v>150</v>
      </c>
      <c r="B134" s="62">
        <v>0</v>
      </c>
      <c r="C134" s="63">
        <v>0</v>
      </c>
      <c r="D134" s="64"/>
      <c r="E134" s="64"/>
      <c r="F134" s="64"/>
      <c r="G134" s="93" t="s">
        <v>9</v>
      </c>
      <c r="H134" s="1"/>
      <c r="I134" s="1"/>
      <c r="J134" s="1"/>
      <c r="K134" s="8"/>
      <c r="L134" s="1"/>
      <c r="M134" s="1"/>
      <c r="N134" s="1"/>
      <c r="O134" s="1"/>
      <c r="P134" s="7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5" x14ac:dyDescent="0.25">
      <c r="A135" s="94" t="s">
        <v>151</v>
      </c>
      <c r="B135" s="45">
        <v>0</v>
      </c>
      <c r="C135" s="46">
        <v>0</v>
      </c>
      <c r="D135" s="47"/>
      <c r="E135" s="47"/>
      <c r="F135" s="47"/>
      <c r="G135" s="91" t="s">
        <v>9</v>
      </c>
      <c r="H135" s="1"/>
      <c r="I135" s="1"/>
      <c r="J135" s="1"/>
      <c r="K135" s="8"/>
      <c r="L135" s="1"/>
      <c r="M135" s="1"/>
      <c r="N135" s="1"/>
      <c r="O135" s="1"/>
      <c r="P135" s="7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5" x14ac:dyDescent="0.25">
      <c r="A136" s="95" t="s">
        <v>152</v>
      </c>
      <c r="B136" s="62">
        <v>0</v>
      </c>
      <c r="C136" s="63">
        <v>0</v>
      </c>
      <c r="D136" s="64"/>
      <c r="E136" s="64"/>
      <c r="F136" s="64"/>
      <c r="G136" s="93" t="s">
        <v>9</v>
      </c>
      <c r="H136" s="1"/>
      <c r="I136" s="1"/>
      <c r="J136" s="1"/>
      <c r="K136" s="8"/>
      <c r="L136" s="1"/>
      <c r="M136" s="1"/>
      <c r="N136" s="1"/>
      <c r="O136" s="1"/>
      <c r="P136" s="7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5" x14ac:dyDescent="0.25">
      <c r="A137" s="94" t="s">
        <v>153</v>
      </c>
      <c r="B137" s="45">
        <v>0</v>
      </c>
      <c r="C137" s="46">
        <v>0</v>
      </c>
      <c r="D137" s="47"/>
      <c r="E137" s="47"/>
      <c r="F137" s="47"/>
      <c r="G137" s="91" t="s">
        <v>9</v>
      </c>
      <c r="H137" s="1"/>
      <c r="I137" s="1"/>
      <c r="J137" s="1"/>
      <c r="K137" s="8"/>
      <c r="L137" s="1"/>
      <c r="M137" s="1"/>
      <c r="N137" s="1"/>
      <c r="O137" s="1"/>
      <c r="P137" s="7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5" x14ac:dyDescent="0.25">
      <c r="A138" s="95" t="s">
        <v>154</v>
      </c>
      <c r="B138" s="62">
        <v>0</v>
      </c>
      <c r="C138" s="63">
        <v>0</v>
      </c>
      <c r="D138" s="64"/>
      <c r="E138" s="64"/>
      <c r="F138" s="64"/>
      <c r="G138" s="93" t="s">
        <v>9</v>
      </c>
      <c r="H138" s="1"/>
      <c r="I138" s="1"/>
      <c r="J138" s="1"/>
      <c r="K138" s="8"/>
      <c r="L138" s="1"/>
      <c r="M138" s="1"/>
      <c r="N138" s="1"/>
      <c r="O138" s="1"/>
      <c r="P138" s="7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5" x14ac:dyDescent="0.25">
      <c r="A139" s="76">
        <v>1995</v>
      </c>
      <c r="B139" s="60"/>
      <c r="C139" s="61"/>
      <c r="D139" s="61"/>
      <c r="E139" s="61"/>
      <c r="F139" s="61"/>
      <c r="G139" s="77"/>
      <c r="H139" s="1"/>
      <c r="I139" s="1"/>
      <c r="J139" s="1"/>
      <c r="K139" s="8"/>
      <c r="L139" s="1"/>
      <c r="M139" s="1"/>
      <c r="N139" s="1"/>
      <c r="O139" s="1"/>
      <c r="P139" s="7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5" x14ac:dyDescent="0.25">
      <c r="A140" s="94" t="s">
        <v>155</v>
      </c>
      <c r="B140" s="45">
        <v>0</v>
      </c>
      <c r="C140" s="46">
        <v>0</v>
      </c>
      <c r="D140" s="47"/>
      <c r="E140" s="47"/>
      <c r="F140" s="47"/>
      <c r="G140" s="91" t="s">
        <v>9</v>
      </c>
      <c r="H140" s="1"/>
      <c r="I140" s="1"/>
      <c r="J140" s="1"/>
      <c r="K140" s="8"/>
      <c r="L140" s="1"/>
      <c r="M140" s="1"/>
      <c r="N140" s="1"/>
      <c r="O140" s="1"/>
      <c r="P140" s="7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5" x14ac:dyDescent="0.25">
      <c r="A141" s="95" t="s">
        <v>156</v>
      </c>
      <c r="B141" s="62">
        <v>0</v>
      </c>
      <c r="C141" s="63">
        <v>0</v>
      </c>
      <c r="D141" s="64"/>
      <c r="E141" s="64"/>
      <c r="F141" s="64"/>
      <c r="G141" s="93" t="s">
        <v>9</v>
      </c>
      <c r="H141" s="1"/>
      <c r="I141" s="1"/>
      <c r="J141" s="1"/>
      <c r="K141" s="8"/>
      <c r="L141" s="1"/>
      <c r="M141" s="1"/>
      <c r="N141" s="1"/>
      <c r="O141" s="1"/>
      <c r="P141" s="7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5" x14ac:dyDescent="0.25">
      <c r="A142" s="94" t="s">
        <v>157</v>
      </c>
      <c r="B142" s="45">
        <v>0</v>
      </c>
      <c r="C142" s="46">
        <v>0</v>
      </c>
      <c r="D142" s="47"/>
      <c r="E142" s="47"/>
      <c r="F142" s="47"/>
      <c r="G142" s="91" t="s">
        <v>9</v>
      </c>
      <c r="H142" s="1"/>
      <c r="I142" s="1"/>
      <c r="J142" s="1"/>
      <c r="K142" s="8"/>
      <c r="L142" s="1"/>
      <c r="M142" s="1"/>
      <c r="N142" s="1"/>
      <c r="O142" s="1"/>
      <c r="P142" s="7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5" x14ac:dyDescent="0.25">
      <c r="A143" s="95" t="s">
        <v>158</v>
      </c>
      <c r="B143" s="62">
        <v>0</v>
      </c>
      <c r="C143" s="63">
        <v>0</v>
      </c>
      <c r="D143" s="64"/>
      <c r="E143" s="64"/>
      <c r="F143" s="64"/>
      <c r="G143" s="93" t="s">
        <v>9</v>
      </c>
      <c r="H143" s="1"/>
      <c r="I143" s="1"/>
      <c r="J143" s="1"/>
      <c r="K143" s="8"/>
      <c r="L143" s="1"/>
      <c r="M143" s="1"/>
      <c r="N143" s="1"/>
      <c r="O143" s="1"/>
      <c r="P143" s="7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5" x14ac:dyDescent="0.25">
      <c r="A144" s="94" t="s">
        <v>159</v>
      </c>
      <c r="B144" s="45">
        <v>0</v>
      </c>
      <c r="C144" s="46">
        <v>0</v>
      </c>
      <c r="D144" s="47"/>
      <c r="E144" s="47"/>
      <c r="F144" s="47"/>
      <c r="G144" s="91" t="s">
        <v>9</v>
      </c>
      <c r="H144" s="1"/>
      <c r="I144" s="1"/>
      <c r="J144" s="1"/>
      <c r="K144" s="8"/>
      <c r="L144" s="1"/>
      <c r="M144" s="1"/>
      <c r="N144" s="1"/>
      <c r="O144" s="1"/>
      <c r="P144" s="7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5" x14ac:dyDescent="0.25">
      <c r="A145" s="95" t="s">
        <v>160</v>
      </c>
      <c r="B145" s="62">
        <v>0</v>
      </c>
      <c r="C145" s="63">
        <v>0</v>
      </c>
      <c r="D145" s="64"/>
      <c r="E145" s="64"/>
      <c r="F145" s="64"/>
      <c r="G145" s="93" t="s">
        <v>9</v>
      </c>
      <c r="H145" s="1"/>
      <c r="I145" s="1"/>
      <c r="J145" s="1"/>
      <c r="K145" s="8"/>
      <c r="L145" s="1"/>
      <c r="M145" s="1"/>
      <c r="N145" s="1"/>
      <c r="O145" s="1"/>
      <c r="P145" s="7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5" x14ac:dyDescent="0.25">
      <c r="A146" s="94" t="s">
        <v>161</v>
      </c>
      <c r="B146" s="45">
        <v>0</v>
      </c>
      <c r="C146" s="46">
        <v>0</v>
      </c>
      <c r="D146" s="47"/>
      <c r="E146" s="47"/>
      <c r="F146" s="47"/>
      <c r="G146" s="91" t="s">
        <v>9</v>
      </c>
      <c r="H146" s="1"/>
      <c r="I146" s="1"/>
      <c r="J146" s="1"/>
      <c r="K146" s="8"/>
      <c r="L146" s="1"/>
      <c r="M146" s="1"/>
      <c r="N146" s="1"/>
      <c r="O146" s="1"/>
      <c r="P146" s="7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5" x14ac:dyDescent="0.25">
      <c r="A147" s="95" t="s">
        <v>162</v>
      </c>
      <c r="B147" s="62">
        <v>0</v>
      </c>
      <c r="C147" s="63">
        <v>0</v>
      </c>
      <c r="D147" s="64"/>
      <c r="E147" s="64"/>
      <c r="F147" s="64"/>
      <c r="G147" s="93" t="s">
        <v>9</v>
      </c>
      <c r="H147" s="1"/>
      <c r="I147" s="1"/>
      <c r="J147" s="1"/>
      <c r="K147" s="8"/>
      <c r="L147" s="1"/>
      <c r="M147" s="1"/>
      <c r="N147" s="1"/>
      <c r="O147" s="1"/>
      <c r="P147" s="7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5" x14ac:dyDescent="0.25">
      <c r="A148" s="94" t="s">
        <v>163</v>
      </c>
      <c r="B148" s="45">
        <v>0</v>
      </c>
      <c r="C148" s="46">
        <v>0</v>
      </c>
      <c r="D148" s="47"/>
      <c r="E148" s="47"/>
      <c r="F148" s="47"/>
      <c r="G148" s="91" t="s">
        <v>9</v>
      </c>
      <c r="H148" s="1"/>
      <c r="I148" s="1"/>
      <c r="J148" s="1"/>
      <c r="K148" s="8"/>
      <c r="L148" s="1"/>
      <c r="M148" s="1"/>
      <c r="N148" s="1"/>
      <c r="O148" s="1"/>
      <c r="P148" s="7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5" x14ac:dyDescent="0.25">
      <c r="A149" s="95" t="s">
        <v>164</v>
      </c>
      <c r="B149" s="62">
        <v>0</v>
      </c>
      <c r="C149" s="63">
        <v>0</v>
      </c>
      <c r="D149" s="64"/>
      <c r="E149" s="64"/>
      <c r="F149" s="64"/>
      <c r="G149" s="93" t="s">
        <v>9</v>
      </c>
      <c r="H149" s="1"/>
      <c r="I149" s="1"/>
      <c r="J149" s="1"/>
      <c r="K149" s="8"/>
      <c r="L149" s="1"/>
      <c r="M149" s="1"/>
      <c r="N149" s="1"/>
      <c r="O149" s="1"/>
      <c r="P149" s="7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5" x14ac:dyDescent="0.25">
      <c r="A150" s="94" t="s">
        <v>165</v>
      </c>
      <c r="B150" s="45">
        <v>0</v>
      </c>
      <c r="C150" s="46">
        <v>0</v>
      </c>
      <c r="D150" s="47"/>
      <c r="E150" s="47"/>
      <c r="F150" s="47"/>
      <c r="G150" s="91" t="s">
        <v>9</v>
      </c>
      <c r="H150" s="1"/>
      <c r="I150" s="1"/>
      <c r="J150" s="1"/>
      <c r="K150" s="8"/>
      <c r="L150" s="1"/>
      <c r="M150" s="1"/>
      <c r="N150" s="1"/>
      <c r="O150" s="1"/>
      <c r="P150" s="7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5" x14ac:dyDescent="0.25">
      <c r="A151" s="95" t="s">
        <v>46</v>
      </c>
      <c r="B151" s="62">
        <v>0</v>
      </c>
      <c r="C151" s="63">
        <v>0</v>
      </c>
      <c r="D151" s="64"/>
      <c r="E151" s="64"/>
      <c r="F151" s="64"/>
      <c r="G151" s="93" t="s">
        <v>9</v>
      </c>
      <c r="H151" s="1"/>
      <c r="I151" s="1"/>
      <c r="J151" s="1"/>
      <c r="K151" s="8"/>
      <c r="L151" s="1"/>
      <c r="M151" s="1"/>
      <c r="N151" s="1"/>
      <c r="O151" s="1"/>
      <c r="P151" s="7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5" x14ac:dyDescent="0.25">
      <c r="A152" s="76">
        <v>1996</v>
      </c>
      <c r="B152" s="60"/>
      <c r="C152" s="61"/>
      <c r="D152" s="61"/>
      <c r="E152" s="61"/>
      <c r="F152" s="61"/>
      <c r="G152" s="77"/>
      <c r="H152" s="1"/>
      <c r="I152" s="1"/>
      <c r="J152" s="1"/>
      <c r="K152" s="8"/>
      <c r="L152" s="1"/>
      <c r="M152" s="1"/>
      <c r="N152" s="1"/>
      <c r="O152" s="1"/>
      <c r="P152" s="7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5" x14ac:dyDescent="0.25">
      <c r="A153" s="94" t="s">
        <v>166</v>
      </c>
      <c r="B153" s="45">
        <v>0</v>
      </c>
      <c r="C153" s="46">
        <v>0</v>
      </c>
      <c r="D153" s="47"/>
      <c r="E153" s="47"/>
      <c r="F153" s="47"/>
      <c r="G153" s="91" t="s">
        <v>9</v>
      </c>
      <c r="H153" s="1"/>
      <c r="I153" s="1"/>
      <c r="J153" s="1"/>
      <c r="K153" s="8"/>
      <c r="L153" s="1"/>
      <c r="M153" s="1"/>
      <c r="N153" s="1"/>
      <c r="O153" s="1"/>
      <c r="P153" s="7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5" x14ac:dyDescent="0.25">
      <c r="A154" s="95" t="s">
        <v>167</v>
      </c>
      <c r="B154" s="62">
        <v>0</v>
      </c>
      <c r="C154" s="63">
        <v>0</v>
      </c>
      <c r="D154" s="64"/>
      <c r="E154" s="64"/>
      <c r="F154" s="64"/>
      <c r="G154" s="93" t="s">
        <v>9</v>
      </c>
      <c r="H154" s="1"/>
      <c r="I154" s="1"/>
      <c r="J154" s="1"/>
      <c r="K154" s="8"/>
      <c r="L154" s="1"/>
      <c r="M154" s="1"/>
      <c r="N154" s="1"/>
      <c r="O154" s="1"/>
      <c r="P154" s="7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5" x14ac:dyDescent="0.25">
      <c r="A155" s="94" t="s">
        <v>168</v>
      </c>
      <c r="B155" s="45">
        <v>0</v>
      </c>
      <c r="C155" s="46">
        <v>0</v>
      </c>
      <c r="D155" s="47"/>
      <c r="E155" s="47"/>
      <c r="F155" s="47"/>
      <c r="G155" s="91" t="s">
        <v>9</v>
      </c>
      <c r="H155" s="1"/>
      <c r="I155" s="1"/>
      <c r="J155" s="1"/>
      <c r="K155" s="8"/>
      <c r="L155" s="1"/>
      <c r="M155" s="1"/>
      <c r="N155" s="1"/>
      <c r="O155" s="1"/>
      <c r="P155" s="7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5" x14ac:dyDescent="0.25">
      <c r="A156" s="95" t="s">
        <v>169</v>
      </c>
      <c r="B156" s="62">
        <v>0</v>
      </c>
      <c r="C156" s="63">
        <v>0</v>
      </c>
      <c r="D156" s="64"/>
      <c r="E156" s="64"/>
      <c r="F156" s="64"/>
      <c r="G156" s="93" t="s">
        <v>9</v>
      </c>
      <c r="H156" s="1"/>
      <c r="I156" s="1"/>
      <c r="J156" s="1"/>
      <c r="K156" s="8"/>
      <c r="L156" s="1"/>
      <c r="M156" s="1"/>
      <c r="N156" s="1"/>
      <c r="O156" s="1"/>
      <c r="P156" s="7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5" x14ac:dyDescent="0.25">
      <c r="A157" s="94" t="s">
        <v>170</v>
      </c>
      <c r="B157" s="45">
        <v>0</v>
      </c>
      <c r="C157" s="46">
        <v>0</v>
      </c>
      <c r="D157" s="47"/>
      <c r="E157" s="47"/>
      <c r="F157" s="47"/>
      <c r="G157" s="91" t="s">
        <v>9</v>
      </c>
      <c r="H157" s="1"/>
      <c r="I157" s="1"/>
      <c r="J157" s="1"/>
      <c r="K157" s="8"/>
      <c r="L157" s="1"/>
      <c r="M157" s="1"/>
      <c r="N157" s="1"/>
      <c r="O157" s="1"/>
      <c r="P157" s="7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5" x14ac:dyDescent="0.25">
      <c r="A158" s="95" t="s">
        <v>171</v>
      </c>
      <c r="B158" s="62">
        <v>0</v>
      </c>
      <c r="C158" s="63">
        <v>0</v>
      </c>
      <c r="D158" s="64"/>
      <c r="E158" s="64"/>
      <c r="F158" s="64"/>
      <c r="G158" s="93" t="s">
        <v>9</v>
      </c>
      <c r="H158" s="1"/>
      <c r="I158" s="1"/>
      <c r="J158" s="1"/>
      <c r="K158" s="8"/>
      <c r="L158" s="1"/>
      <c r="M158" s="1"/>
      <c r="N158" s="1"/>
      <c r="O158" s="1"/>
      <c r="P158" s="7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5" x14ac:dyDescent="0.25">
      <c r="A159" s="94" t="s">
        <v>172</v>
      </c>
      <c r="B159" s="45">
        <v>0</v>
      </c>
      <c r="C159" s="46">
        <v>0</v>
      </c>
      <c r="D159" s="47"/>
      <c r="E159" s="47"/>
      <c r="F159" s="47"/>
      <c r="G159" s="91" t="s">
        <v>9</v>
      </c>
      <c r="H159" s="1"/>
      <c r="I159" s="1"/>
      <c r="J159" s="1"/>
      <c r="K159" s="8"/>
      <c r="L159" s="1"/>
      <c r="M159" s="1"/>
      <c r="N159" s="1"/>
      <c r="O159" s="1"/>
      <c r="P159" s="7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5" x14ac:dyDescent="0.25">
      <c r="A160" s="95" t="s">
        <v>173</v>
      </c>
      <c r="B160" s="62">
        <v>0</v>
      </c>
      <c r="C160" s="63">
        <v>0</v>
      </c>
      <c r="D160" s="64"/>
      <c r="E160" s="64"/>
      <c r="F160" s="64"/>
      <c r="G160" s="93" t="s">
        <v>9</v>
      </c>
      <c r="H160" s="1"/>
      <c r="I160" s="1"/>
      <c r="J160" s="1"/>
      <c r="K160" s="8"/>
      <c r="L160" s="1"/>
      <c r="M160" s="1"/>
      <c r="N160" s="1"/>
      <c r="O160" s="1"/>
      <c r="P160" s="7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5" x14ac:dyDescent="0.25">
      <c r="A161" s="94" t="s">
        <v>174</v>
      </c>
      <c r="B161" s="45">
        <v>0</v>
      </c>
      <c r="C161" s="46">
        <v>0</v>
      </c>
      <c r="D161" s="47"/>
      <c r="E161" s="47"/>
      <c r="F161" s="47"/>
      <c r="G161" s="91" t="s">
        <v>9</v>
      </c>
      <c r="H161" s="1"/>
      <c r="I161" s="1"/>
      <c r="J161" s="1"/>
      <c r="K161" s="8"/>
      <c r="L161" s="1"/>
      <c r="M161" s="1"/>
      <c r="N161" s="1"/>
      <c r="O161" s="1"/>
      <c r="P161" s="7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5" x14ac:dyDescent="0.25">
      <c r="A162" s="95" t="s">
        <v>175</v>
      </c>
      <c r="B162" s="62">
        <v>0</v>
      </c>
      <c r="C162" s="63">
        <v>0</v>
      </c>
      <c r="D162" s="64"/>
      <c r="E162" s="64"/>
      <c r="F162" s="64"/>
      <c r="G162" s="93" t="s">
        <v>9</v>
      </c>
      <c r="H162" s="1"/>
      <c r="I162" s="1"/>
      <c r="J162" s="1"/>
      <c r="K162" s="8"/>
      <c r="L162" s="1"/>
      <c r="M162" s="1"/>
      <c r="N162" s="1"/>
      <c r="O162" s="1"/>
      <c r="P162" s="7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5" x14ac:dyDescent="0.25">
      <c r="A163" s="94" t="s">
        <v>176</v>
      </c>
      <c r="B163" s="45">
        <v>0</v>
      </c>
      <c r="C163" s="46">
        <v>0</v>
      </c>
      <c r="D163" s="47"/>
      <c r="E163" s="47"/>
      <c r="F163" s="47"/>
      <c r="G163" s="91" t="s">
        <v>9</v>
      </c>
      <c r="H163" s="1"/>
      <c r="I163" s="1"/>
      <c r="J163" s="1"/>
      <c r="K163" s="8"/>
      <c r="L163" s="1"/>
      <c r="M163" s="1"/>
      <c r="N163" s="1"/>
      <c r="O163" s="1"/>
      <c r="P163" s="7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5" x14ac:dyDescent="0.25">
      <c r="A164" s="95" t="s">
        <v>177</v>
      </c>
      <c r="B164" s="62">
        <v>0</v>
      </c>
      <c r="C164" s="63">
        <v>0</v>
      </c>
      <c r="D164" s="64"/>
      <c r="E164" s="64"/>
      <c r="F164" s="64"/>
      <c r="G164" s="93" t="s">
        <v>9</v>
      </c>
      <c r="H164" s="1"/>
      <c r="I164" s="1"/>
      <c r="J164" s="1"/>
      <c r="K164" s="8"/>
      <c r="L164" s="1"/>
      <c r="M164" s="1"/>
      <c r="N164" s="1"/>
      <c r="O164" s="1"/>
      <c r="P164" s="7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5" x14ac:dyDescent="0.25">
      <c r="A165" s="76">
        <v>1997</v>
      </c>
      <c r="B165" s="60"/>
      <c r="C165" s="61"/>
      <c r="D165" s="61"/>
      <c r="E165" s="61"/>
      <c r="F165" s="61"/>
      <c r="G165" s="77"/>
      <c r="H165" s="1"/>
      <c r="I165" s="1"/>
      <c r="J165" s="1"/>
      <c r="K165" s="8"/>
      <c r="L165" s="1"/>
      <c r="M165" s="1"/>
      <c r="N165" s="1"/>
      <c r="O165" s="1"/>
      <c r="P165" s="7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5" x14ac:dyDescent="0.25">
      <c r="A166" s="94" t="s">
        <v>178</v>
      </c>
      <c r="B166" s="45">
        <v>0</v>
      </c>
      <c r="C166" s="46">
        <v>0</v>
      </c>
      <c r="D166" s="47"/>
      <c r="E166" s="47"/>
      <c r="F166" s="47"/>
      <c r="G166" s="91" t="s">
        <v>9</v>
      </c>
      <c r="H166" s="1"/>
      <c r="I166" s="1"/>
      <c r="J166" s="1"/>
      <c r="K166" s="8"/>
      <c r="L166" s="1"/>
      <c r="M166" s="1"/>
      <c r="N166" s="1"/>
      <c r="O166" s="1"/>
      <c r="P166" s="7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5" x14ac:dyDescent="0.25">
      <c r="A167" s="95" t="s">
        <v>179</v>
      </c>
      <c r="B167" s="62">
        <v>0</v>
      </c>
      <c r="C167" s="63">
        <v>0</v>
      </c>
      <c r="D167" s="64"/>
      <c r="E167" s="64"/>
      <c r="F167" s="64"/>
      <c r="G167" s="93" t="s">
        <v>9</v>
      </c>
      <c r="H167" s="1"/>
      <c r="I167" s="1"/>
      <c r="J167" s="1"/>
      <c r="K167" s="8"/>
      <c r="L167" s="1"/>
      <c r="M167" s="1"/>
      <c r="N167" s="1"/>
      <c r="O167" s="1"/>
      <c r="P167" s="7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5" x14ac:dyDescent="0.25">
      <c r="A168" s="94" t="s">
        <v>180</v>
      </c>
      <c r="B168" s="45">
        <v>0</v>
      </c>
      <c r="C168" s="46">
        <v>0</v>
      </c>
      <c r="D168" s="47"/>
      <c r="E168" s="47"/>
      <c r="F168" s="47"/>
      <c r="G168" s="91" t="s">
        <v>9</v>
      </c>
      <c r="H168" s="1"/>
      <c r="I168" s="1"/>
      <c r="J168" s="1"/>
      <c r="K168" s="8"/>
      <c r="L168" s="1"/>
      <c r="M168" s="1"/>
      <c r="N168" s="1"/>
      <c r="O168" s="1"/>
      <c r="P168" s="7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5" x14ac:dyDescent="0.25">
      <c r="A169" s="95" t="s">
        <v>181</v>
      </c>
      <c r="B169" s="62">
        <v>0</v>
      </c>
      <c r="C169" s="63">
        <v>0</v>
      </c>
      <c r="D169" s="64"/>
      <c r="E169" s="64"/>
      <c r="F169" s="64"/>
      <c r="G169" s="93" t="s">
        <v>9</v>
      </c>
      <c r="H169" s="1"/>
      <c r="I169" s="1"/>
      <c r="J169" s="1"/>
      <c r="K169" s="8"/>
      <c r="L169" s="1"/>
      <c r="M169" s="1"/>
      <c r="N169" s="1"/>
      <c r="O169" s="1"/>
      <c r="P169" s="7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5" x14ac:dyDescent="0.25">
      <c r="A170" s="94" t="s">
        <v>182</v>
      </c>
      <c r="B170" s="45">
        <v>0</v>
      </c>
      <c r="C170" s="46">
        <v>0</v>
      </c>
      <c r="D170" s="47"/>
      <c r="E170" s="47"/>
      <c r="F170" s="47"/>
      <c r="G170" s="91" t="s">
        <v>9</v>
      </c>
      <c r="H170" s="1"/>
      <c r="I170" s="1"/>
      <c r="J170" s="1"/>
      <c r="K170" s="8"/>
      <c r="L170" s="1"/>
      <c r="M170" s="1"/>
      <c r="N170" s="1"/>
      <c r="O170" s="1"/>
      <c r="P170" s="7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5" x14ac:dyDescent="0.25">
      <c r="A171" s="95" t="s">
        <v>183</v>
      </c>
      <c r="B171" s="62">
        <v>0</v>
      </c>
      <c r="C171" s="63">
        <v>0</v>
      </c>
      <c r="D171" s="64"/>
      <c r="E171" s="64"/>
      <c r="F171" s="64"/>
      <c r="G171" s="93" t="s">
        <v>9</v>
      </c>
      <c r="H171" s="1"/>
      <c r="I171" s="1"/>
      <c r="J171" s="1"/>
      <c r="K171" s="8"/>
      <c r="L171" s="1"/>
      <c r="M171" s="1"/>
      <c r="N171" s="1"/>
      <c r="O171" s="1"/>
      <c r="P171" s="7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5" x14ac:dyDescent="0.25">
      <c r="A172" s="94" t="s">
        <v>184</v>
      </c>
      <c r="B172" s="45">
        <v>0</v>
      </c>
      <c r="C172" s="46">
        <v>0</v>
      </c>
      <c r="D172" s="47"/>
      <c r="E172" s="47"/>
      <c r="F172" s="47"/>
      <c r="G172" s="91" t="s">
        <v>9</v>
      </c>
      <c r="H172" s="1"/>
      <c r="I172" s="1"/>
      <c r="J172" s="1"/>
      <c r="K172" s="8"/>
      <c r="L172" s="1"/>
      <c r="M172" s="1"/>
      <c r="N172" s="1"/>
      <c r="O172" s="1"/>
      <c r="P172" s="7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5" x14ac:dyDescent="0.25">
      <c r="A173" s="95" t="s">
        <v>185</v>
      </c>
      <c r="B173" s="62">
        <v>1</v>
      </c>
      <c r="C173" s="63">
        <f>25/1000</f>
        <v>2.5000000000000001E-2</v>
      </c>
      <c r="D173" s="64"/>
      <c r="E173" s="64"/>
      <c r="F173" s="64"/>
      <c r="G173" s="93" t="s">
        <v>9</v>
      </c>
      <c r="H173" s="1"/>
      <c r="I173" s="1"/>
      <c r="J173" s="1"/>
      <c r="K173" s="8"/>
      <c r="L173" s="1"/>
      <c r="M173" s="1"/>
      <c r="N173" s="1"/>
      <c r="O173" s="1"/>
      <c r="P173" s="7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5" x14ac:dyDescent="0.25">
      <c r="A174" s="94" t="s">
        <v>186</v>
      </c>
      <c r="B174" s="45">
        <v>0</v>
      </c>
      <c r="C174" s="46">
        <v>0</v>
      </c>
      <c r="D174" s="47"/>
      <c r="E174" s="47"/>
      <c r="F174" s="47"/>
      <c r="G174" s="91" t="s">
        <v>9</v>
      </c>
      <c r="H174" s="1"/>
      <c r="I174" s="1"/>
      <c r="J174" s="1"/>
      <c r="K174" s="8"/>
      <c r="L174" s="1"/>
      <c r="M174" s="1"/>
      <c r="N174" s="1"/>
      <c r="O174" s="1"/>
      <c r="P174" s="7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5" x14ac:dyDescent="0.25">
      <c r="A175" s="95" t="s">
        <v>187</v>
      </c>
      <c r="B175" s="62">
        <v>0</v>
      </c>
      <c r="C175" s="63">
        <v>0</v>
      </c>
      <c r="D175" s="64"/>
      <c r="E175" s="64"/>
      <c r="F175" s="64"/>
      <c r="G175" s="93" t="s">
        <v>9</v>
      </c>
      <c r="H175" s="1"/>
      <c r="I175" s="1"/>
      <c r="J175" s="1"/>
      <c r="K175" s="8"/>
      <c r="L175" s="1"/>
      <c r="M175" s="1"/>
      <c r="N175" s="1"/>
      <c r="O175" s="1"/>
      <c r="P175" s="7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5" x14ac:dyDescent="0.25">
      <c r="A176" s="94" t="s">
        <v>188</v>
      </c>
      <c r="B176" s="45">
        <v>0</v>
      </c>
      <c r="C176" s="46">
        <v>0</v>
      </c>
      <c r="D176" s="47"/>
      <c r="E176" s="47"/>
      <c r="F176" s="47"/>
      <c r="G176" s="91" t="s">
        <v>9</v>
      </c>
      <c r="H176" s="1"/>
      <c r="I176" s="1"/>
      <c r="J176" s="1"/>
      <c r="K176" s="8"/>
      <c r="L176" s="1"/>
      <c r="M176" s="1"/>
      <c r="N176" s="1"/>
      <c r="O176" s="1"/>
      <c r="P176" s="7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5" x14ac:dyDescent="0.25">
      <c r="A177" s="95" t="s">
        <v>189</v>
      </c>
      <c r="B177" s="62">
        <v>0</v>
      </c>
      <c r="C177" s="63">
        <v>0</v>
      </c>
      <c r="D177" s="64"/>
      <c r="E177" s="64"/>
      <c r="F177" s="64"/>
      <c r="G177" s="93" t="s">
        <v>9</v>
      </c>
      <c r="H177" s="1"/>
      <c r="I177" s="1"/>
      <c r="J177" s="1"/>
      <c r="K177" s="8"/>
      <c r="L177" s="1"/>
      <c r="M177" s="1"/>
      <c r="N177" s="1"/>
      <c r="O177" s="1"/>
      <c r="P177" s="7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5" x14ac:dyDescent="0.25">
      <c r="A178" s="76">
        <v>1998</v>
      </c>
      <c r="B178" s="60"/>
      <c r="C178" s="61"/>
      <c r="D178" s="61"/>
      <c r="E178" s="61"/>
      <c r="F178" s="61"/>
      <c r="G178" s="77"/>
      <c r="H178" s="1"/>
      <c r="I178" s="1"/>
      <c r="J178" s="1"/>
      <c r="K178" s="8"/>
      <c r="L178" s="1"/>
      <c r="M178" s="1"/>
      <c r="N178" s="1"/>
      <c r="O178" s="1"/>
      <c r="P178" s="7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5" x14ac:dyDescent="0.25">
      <c r="A179" s="94" t="s">
        <v>190</v>
      </c>
      <c r="B179" s="45">
        <v>0</v>
      </c>
      <c r="C179" s="46">
        <v>0</v>
      </c>
      <c r="D179" s="47"/>
      <c r="E179" s="47"/>
      <c r="F179" s="47"/>
      <c r="G179" s="91" t="s">
        <v>9</v>
      </c>
      <c r="H179" s="1"/>
      <c r="I179" s="1"/>
      <c r="J179" s="1"/>
      <c r="K179" s="8"/>
      <c r="L179" s="1"/>
      <c r="M179" s="1"/>
      <c r="N179" s="1"/>
      <c r="O179" s="1"/>
      <c r="P179" s="7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5" x14ac:dyDescent="0.25">
      <c r="A180" s="95" t="s">
        <v>191</v>
      </c>
      <c r="B180" s="62">
        <v>0</v>
      </c>
      <c r="C180" s="63">
        <v>0</v>
      </c>
      <c r="D180" s="64"/>
      <c r="E180" s="64"/>
      <c r="F180" s="64"/>
      <c r="G180" s="93" t="s">
        <v>9</v>
      </c>
      <c r="H180" s="1"/>
      <c r="I180" s="1"/>
      <c r="J180" s="1"/>
      <c r="K180" s="8"/>
      <c r="L180" s="1"/>
      <c r="M180" s="1"/>
      <c r="N180" s="1"/>
      <c r="O180" s="1"/>
      <c r="P180" s="7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5" x14ac:dyDescent="0.25">
      <c r="A181" s="94" t="s">
        <v>192</v>
      </c>
      <c r="B181" s="45">
        <v>0</v>
      </c>
      <c r="C181" s="46">
        <v>0</v>
      </c>
      <c r="D181" s="47"/>
      <c r="E181" s="47"/>
      <c r="F181" s="47"/>
      <c r="G181" s="91" t="s">
        <v>9</v>
      </c>
      <c r="H181" s="1"/>
      <c r="I181" s="1"/>
      <c r="J181" s="1"/>
      <c r="K181" s="8"/>
      <c r="L181" s="1"/>
      <c r="M181" s="1"/>
      <c r="N181" s="1"/>
      <c r="O181" s="1"/>
      <c r="P181" s="7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5" x14ac:dyDescent="0.25">
      <c r="A182" s="95" t="s">
        <v>193</v>
      </c>
      <c r="B182" s="62">
        <v>0</v>
      </c>
      <c r="C182" s="63">
        <v>0</v>
      </c>
      <c r="D182" s="64"/>
      <c r="E182" s="64"/>
      <c r="F182" s="64"/>
      <c r="G182" s="93" t="s">
        <v>9</v>
      </c>
      <c r="H182" s="1"/>
      <c r="I182" s="1"/>
      <c r="J182" s="1"/>
      <c r="K182" s="8"/>
      <c r="L182" s="1"/>
      <c r="M182" s="1"/>
      <c r="N182" s="1"/>
      <c r="O182" s="1"/>
      <c r="P182" s="7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5" x14ac:dyDescent="0.25">
      <c r="A183" s="94" t="s">
        <v>194</v>
      </c>
      <c r="B183" s="45">
        <v>1</v>
      </c>
      <c r="C183" s="46">
        <f>28.6/1000</f>
        <v>2.86E-2</v>
      </c>
      <c r="D183" s="47"/>
      <c r="E183" s="47"/>
      <c r="F183" s="47"/>
      <c r="G183" s="91" t="s">
        <v>9</v>
      </c>
      <c r="H183" s="1"/>
      <c r="I183" s="1"/>
      <c r="J183" s="1"/>
      <c r="K183" s="8"/>
      <c r="L183" s="1"/>
      <c r="M183" s="1"/>
      <c r="N183" s="1"/>
      <c r="O183" s="1"/>
      <c r="P183" s="7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5" x14ac:dyDescent="0.25">
      <c r="A184" s="95" t="s">
        <v>195</v>
      </c>
      <c r="B184" s="65">
        <v>2</v>
      </c>
      <c r="C184" s="63">
        <v>0</v>
      </c>
      <c r="D184" s="64"/>
      <c r="E184" s="64"/>
      <c r="F184" s="64"/>
      <c r="G184" s="93" t="s">
        <v>9</v>
      </c>
      <c r="H184" s="1"/>
      <c r="I184" s="1"/>
      <c r="J184" s="1"/>
      <c r="K184" s="8"/>
      <c r="L184" s="1"/>
      <c r="M184" s="1"/>
      <c r="N184" s="1"/>
      <c r="O184" s="1"/>
      <c r="P184" s="7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5" x14ac:dyDescent="0.25">
      <c r="A185" s="94" t="s">
        <v>196</v>
      </c>
      <c r="B185" s="45">
        <v>1</v>
      </c>
      <c r="C185" s="46">
        <v>0</v>
      </c>
      <c r="D185" s="47"/>
      <c r="E185" s="47"/>
      <c r="F185" s="47"/>
      <c r="G185" s="91" t="s">
        <v>9</v>
      </c>
      <c r="H185" s="1"/>
      <c r="I185" s="1"/>
      <c r="J185" s="1"/>
      <c r="K185" s="8"/>
      <c r="L185" s="1"/>
      <c r="M185" s="1"/>
      <c r="N185" s="1"/>
      <c r="O185" s="1"/>
      <c r="P185" s="7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5" x14ac:dyDescent="0.25">
      <c r="A186" s="95" t="s">
        <v>197</v>
      </c>
      <c r="B186" s="62">
        <v>0</v>
      </c>
      <c r="C186" s="63">
        <v>0</v>
      </c>
      <c r="D186" s="64"/>
      <c r="E186" s="64"/>
      <c r="F186" s="64"/>
      <c r="G186" s="93" t="s">
        <v>9</v>
      </c>
      <c r="H186" s="1"/>
      <c r="I186" s="1"/>
      <c r="J186" s="1"/>
      <c r="K186" s="8"/>
      <c r="L186" s="1"/>
      <c r="M186" s="1"/>
      <c r="N186" s="1"/>
      <c r="O186" s="1"/>
      <c r="P186" s="7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5" x14ac:dyDescent="0.25">
      <c r="A187" s="94" t="s">
        <v>198</v>
      </c>
      <c r="B187" s="45">
        <v>0</v>
      </c>
      <c r="C187" s="46">
        <v>0</v>
      </c>
      <c r="D187" s="47"/>
      <c r="E187" s="47"/>
      <c r="F187" s="47"/>
      <c r="G187" s="91" t="s">
        <v>9</v>
      </c>
      <c r="H187" s="1"/>
      <c r="I187" s="1"/>
      <c r="J187" s="1"/>
      <c r="K187" s="8"/>
      <c r="L187" s="1"/>
      <c r="M187" s="1"/>
      <c r="N187" s="1"/>
      <c r="O187" s="1"/>
      <c r="P187" s="7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5" x14ac:dyDescent="0.25">
      <c r="A188" s="95" t="s">
        <v>199</v>
      </c>
      <c r="B188" s="62">
        <v>0</v>
      </c>
      <c r="C188" s="63">
        <v>0</v>
      </c>
      <c r="D188" s="64"/>
      <c r="E188" s="64"/>
      <c r="F188" s="64"/>
      <c r="G188" s="93" t="s">
        <v>9</v>
      </c>
      <c r="H188" s="1"/>
      <c r="I188" s="1"/>
      <c r="J188" s="1"/>
      <c r="K188" s="8"/>
      <c r="L188" s="1"/>
      <c r="M188" s="1"/>
      <c r="N188" s="1"/>
      <c r="O188" s="1"/>
      <c r="P188" s="7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5" x14ac:dyDescent="0.25">
      <c r="A189" s="94" t="s">
        <v>200</v>
      </c>
      <c r="B189" s="45">
        <v>0</v>
      </c>
      <c r="C189" s="46">
        <v>0</v>
      </c>
      <c r="D189" s="47"/>
      <c r="E189" s="47"/>
      <c r="F189" s="47"/>
      <c r="G189" s="91" t="s">
        <v>9</v>
      </c>
      <c r="H189" s="1"/>
      <c r="I189" s="1"/>
      <c r="J189" s="1"/>
      <c r="K189" s="8"/>
      <c r="L189" s="1"/>
      <c r="M189" s="1"/>
      <c r="N189" s="1"/>
      <c r="O189" s="1"/>
      <c r="P189" s="7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5" x14ac:dyDescent="0.25">
      <c r="A190" s="95" t="s">
        <v>201</v>
      </c>
      <c r="B190" s="62">
        <v>3</v>
      </c>
      <c r="C190" s="63">
        <f>44.2/1000</f>
        <v>4.4200000000000003E-2</v>
      </c>
      <c r="D190" s="64"/>
      <c r="E190" s="64"/>
      <c r="F190" s="64"/>
      <c r="G190" s="93" t="s">
        <v>9</v>
      </c>
      <c r="H190" s="1"/>
      <c r="I190" s="1"/>
      <c r="J190" s="1"/>
      <c r="K190" s="8"/>
      <c r="L190" s="1"/>
      <c r="M190" s="1"/>
      <c r="N190" s="1"/>
      <c r="O190" s="1"/>
      <c r="P190" s="7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5" x14ac:dyDescent="0.25">
      <c r="A191" s="76">
        <v>1999</v>
      </c>
      <c r="B191" s="60"/>
      <c r="C191" s="61"/>
      <c r="D191" s="61"/>
      <c r="E191" s="61"/>
      <c r="F191" s="61"/>
      <c r="G191" s="77"/>
      <c r="H191" s="1"/>
      <c r="I191" s="1"/>
      <c r="J191" s="1"/>
      <c r="K191" s="8"/>
      <c r="L191" s="1"/>
      <c r="M191" s="1"/>
      <c r="N191" s="1"/>
      <c r="O191" s="1"/>
      <c r="P191" s="7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5" x14ac:dyDescent="0.25">
      <c r="A192" s="94" t="s">
        <v>95</v>
      </c>
      <c r="B192" s="45">
        <v>1</v>
      </c>
      <c r="C192" s="46">
        <v>0</v>
      </c>
      <c r="D192" s="47"/>
      <c r="E192" s="47"/>
      <c r="F192" s="47"/>
      <c r="G192" s="91" t="s">
        <v>9</v>
      </c>
      <c r="H192" s="1"/>
      <c r="I192" s="1"/>
      <c r="J192" s="1"/>
      <c r="K192" s="8"/>
      <c r="L192" s="1"/>
      <c r="M192" s="1"/>
      <c r="N192" s="1"/>
      <c r="O192" s="1"/>
      <c r="P192" s="7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5" x14ac:dyDescent="0.25">
      <c r="A193" s="95" t="s">
        <v>96</v>
      </c>
      <c r="B193" s="62">
        <v>0</v>
      </c>
      <c r="C193" s="63">
        <v>0</v>
      </c>
      <c r="D193" s="64"/>
      <c r="E193" s="64"/>
      <c r="F193" s="64"/>
      <c r="G193" s="93" t="s">
        <v>9</v>
      </c>
      <c r="H193" s="1"/>
      <c r="I193" s="1"/>
      <c r="J193" s="1"/>
      <c r="K193" s="8"/>
      <c r="L193" s="1"/>
      <c r="M193" s="1"/>
      <c r="N193" s="1"/>
      <c r="O193" s="1"/>
      <c r="P193" s="7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5" x14ac:dyDescent="0.25">
      <c r="A194" s="94" t="s">
        <v>97</v>
      </c>
      <c r="B194" s="45">
        <v>1</v>
      </c>
      <c r="C194" s="46">
        <v>0</v>
      </c>
      <c r="D194" s="47"/>
      <c r="E194" s="47"/>
      <c r="F194" s="47"/>
      <c r="G194" s="91" t="s">
        <v>9</v>
      </c>
      <c r="H194" s="1"/>
      <c r="I194" s="1"/>
      <c r="J194" s="1"/>
      <c r="K194" s="8"/>
      <c r="L194" s="1"/>
      <c r="M194" s="1"/>
      <c r="N194" s="1"/>
      <c r="O194" s="1"/>
      <c r="P194" s="7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5" x14ac:dyDescent="0.25">
      <c r="A195" s="95" t="s">
        <v>98</v>
      </c>
      <c r="B195" s="62">
        <v>0</v>
      </c>
      <c r="C195" s="63">
        <v>0</v>
      </c>
      <c r="D195" s="64"/>
      <c r="E195" s="64"/>
      <c r="F195" s="64"/>
      <c r="G195" s="93" t="s">
        <v>9</v>
      </c>
      <c r="H195" s="1"/>
      <c r="I195" s="1"/>
      <c r="J195" s="1"/>
      <c r="K195" s="8"/>
      <c r="L195" s="1"/>
      <c r="M195" s="1"/>
      <c r="N195" s="1"/>
      <c r="O195" s="1"/>
      <c r="P195" s="7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5" x14ac:dyDescent="0.25">
      <c r="A196" s="94" t="s">
        <v>99</v>
      </c>
      <c r="B196" s="45">
        <v>1</v>
      </c>
      <c r="C196" s="46">
        <f>46/1000</f>
        <v>4.5999999999999999E-2</v>
      </c>
      <c r="D196" s="47"/>
      <c r="E196" s="47"/>
      <c r="F196" s="47"/>
      <c r="G196" s="91" t="s">
        <v>9</v>
      </c>
      <c r="H196" s="1"/>
      <c r="I196" s="1"/>
      <c r="J196" s="1"/>
      <c r="K196" s="8"/>
      <c r="L196" s="1"/>
      <c r="M196" s="1"/>
      <c r="N196" s="1"/>
      <c r="O196" s="1"/>
      <c r="P196" s="7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5" x14ac:dyDescent="0.25">
      <c r="A197" s="95" t="s">
        <v>100</v>
      </c>
      <c r="B197" s="62">
        <v>2</v>
      </c>
      <c r="C197" s="63">
        <f>6.55/1000</f>
        <v>6.5499999999999994E-3</v>
      </c>
      <c r="D197" s="64"/>
      <c r="E197" s="64"/>
      <c r="F197" s="64"/>
      <c r="G197" s="93" t="s">
        <v>9</v>
      </c>
      <c r="H197" s="1"/>
      <c r="I197" s="1"/>
      <c r="J197" s="1"/>
      <c r="K197" s="8"/>
      <c r="L197" s="1"/>
      <c r="M197" s="1"/>
      <c r="N197" s="1"/>
      <c r="O197" s="1"/>
      <c r="P197" s="7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5" x14ac:dyDescent="0.25">
      <c r="A198" s="94" t="s">
        <v>101</v>
      </c>
      <c r="B198" s="45">
        <v>0</v>
      </c>
      <c r="C198" s="46">
        <v>0</v>
      </c>
      <c r="D198" s="47"/>
      <c r="E198" s="47"/>
      <c r="F198" s="47"/>
      <c r="G198" s="91" t="s">
        <v>9</v>
      </c>
      <c r="H198" s="1"/>
      <c r="I198" s="1"/>
      <c r="J198" s="1"/>
      <c r="K198" s="8"/>
      <c r="L198" s="1"/>
      <c r="M198" s="1"/>
      <c r="N198" s="1"/>
      <c r="O198" s="1"/>
      <c r="P198" s="7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5" x14ac:dyDescent="0.25">
      <c r="A199" s="95" t="s">
        <v>102</v>
      </c>
      <c r="B199" s="62">
        <v>0</v>
      </c>
      <c r="C199" s="63">
        <v>0</v>
      </c>
      <c r="D199" s="64"/>
      <c r="E199" s="64"/>
      <c r="F199" s="64"/>
      <c r="G199" s="93" t="s">
        <v>9</v>
      </c>
      <c r="H199" s="1"/>
      <c r="I199" s="1"/>
      <c r="J199" s="1"/>
      <c r="K199" s="8"/>
      <c r="L199" s="1"/>
      <c r="M199" s="1"/>
      <c r="N199" s="1"/>
      <c r="O199" s="1"/>
      <c r="P199" s="7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5" x14ac:dyDescent="0.25">
      <c r="A200" s="94" t="s">
        <v>103</v>
      </c>
      <c r="B200" s="45">
        <v>0</v>
      </c>
      <c r="C200" s="46">
        <v>0</v>
      </c>
      <c r="D200" s="47"/>
      <c r="E200" s="47"/>
      <c r="F200" s="47"/>
      <c r="G200" s="91" t="s">
        <v>9</v>
      </c>
      <c r="H200" s="1"/>
      <c r="I200" s="1"/>
      <c r="J200" s="1"/>
      <c r="K200" s="8"/>
      <c r="L200" s="1"/>
      <c r="M200" s="1"/>
      <c r="N200" s="1"/>
      <c r="O200" s="1"/>
      <c r="P200" s="7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5" x14ac:dyDescent="0.25">
      <c r="A201" s="95" t="s">
        <v>104</v>
      </c>
      <c r="B201" s="62">
        <v>4</v>
      </c>
      <c r="C201" s="63">
        <f>7.94/1000</f>
        <v>7.9400000000000009E-3</v>
      </c>
      <c r="D201" s="64"/>
      <c r="E201" s="64"/>
      <c r="F201" s="64"/>
      <c r="G201" s="93" t="s">
        <v>9</v>
      </c>
      <c r="H201" s="1"/>
      <c r="I201" s="1"/>
      <c r="J201" s="1"/>
      <c r="K201" s="8"/>
      <c r="L201" s="1"/>
      <c r="M201" s="1"/>
      <c r="N201" s="1"/>
      <c r="O201" s="1"/>
      <c r="P201" s="7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5" x14ac:dyDescent="0.25">
      <c r="A202" s="94" t="s">
        <v>105</v>
      </c>
      <c r="B202" s="45">
        <v>0</v>
      </c>
      <c r="C202" s="46">
        <v>0</v>
      </c>
      <c r="D202" s="47"/>
      <c r="E202" s="47"/>
      <c r="F202" s="47"/>
      <c r="G202" s="91" t="s">
        <v>9</v>
      </c>
      <c r="H202" s="1"/>
      <c r="I202" s="1"/>
      <c r="J202" s="1"/>
      <c r="K202" s="8"/>
      <c r="L202" s="1"/>
      <c r="M202" s="1"/>
      <c r="N202" s="1"/>
      <c r="O202" s="1"/>
      <c r="P202" s="7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5" x14ac:dyDescent="0.25">
      <c r="A203" s="95" t="s">
        <v>106</v>
      </c>
      <c r="B203" s="62">
        <v>0</v>
      </c>
      <c r="C203" s="63">
        <v>0</v>
      </c>
      <c r="D203" s="64"/>
      <c r="E203" s="64"/>
      <c r="F203" s="64"/>
      <c r="G203" s="93" t="s">
        <v>9</v>
      </c>
      <c r="H203" s="1"/>
      <c r="I203" s="1"/>
      <c r="J203" s="1"/>
      <c r="K203" s="8"/>
      <c r="L203" s="1"/>
      <c r="M203" s="1"/>
      <c r="N203" s="1"/>
      <c r="O203" s="1"/>
      <c r="P203" s="7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5" x14ac:dyDescent="0.25">
      <c r="A204" s="76">
        <v>2000</v>
      </c>
      <c r="B204" s="60"/>
      <c r="C204" s="61"/>
      <c r="D204" s="61"/>
      <c r="E204" s="61"/>
      <c r="F204" s="61"/>
      <c r="G204" s="77"/>
      <c r="H204" s="1"/>
      <c r="I204" s="1"/>
      <c r="J204" s="1"/>
      <c r="K204" s="8"/>
      <c r="L204" s="1"/>
      <c r="M204" s="1"/>
      <c r="N204" s="1"/>
      <c r="O204" s="1"/>
      <c r="P204" s="7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5" x14ac:dyDescent="0.25">
      <c r="A205" s="52" t="s">
        <v>202</v>
      </c>
      <c r="B205" s="49">
        <v>1</v>
      </c>
      <c r="C205" s="46">
        <f>182.7/1000</f>
        <v>0.1827</v>
      </c>
      <c r="D205" s="49"/>
      <c r="E205" s="49"/>
      <c r="F205" s="50"/>
      <c r="G205" s="91" t="s">
        <v>9</v>
      </c>
      <c r="H205" s="1"/>
      <c r="I205" s="1"/>
      <c r="J205" s="1"/>
      <c r="K205" s="8"/>
      <c r="L205" s="1"/>
      <c r="M205" s="1"/>
      <c r="N205" s="1"/>
      <c r="O205" s="1"/>
      <c r="P205" s="7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5" x14ac:dyDescent="0.25">
      <c r="A206" s="68" t="s">
        <v>203</v>
      </c>
      <c r="B206" s="66">
        <v>1</v>
      </c>
      <c r="C206" s="63">
        <v>0</v>
      </c>
      <c r="D206" s="66"/>
      <c r="E206" s="66"/>
      <c r="F206" s="67"/>
      <c r="G206" s="93" t="s">
        <v>9</v>
      </c>
      <c r="H206" s="1"/>
      <c r="I206" s="1"/>
      <c r="J206" s="1"/>
      <c r="K206" s="8"/>
      <c r="L206" s="1"/>
      <c r="M206" s="1"/>
      <c r="N206" s="1"/>
      <c r="O206" s="1"/>
      <c r="P206" s="7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5" x14ac:dyDescent="0.25">
      <c r="A207" s="52" t="s">
        <v>204</v>
      </c>
      <c r="B207" s="49">
        <v>2</v>
      </c>
      <c r="C207" s="46">
        <v>0</v>
      </c>
      <c r="D207" s="49"/>
      <c r="E207" s="49"/>
      <c r="F207" s="50"/>
      <c r="G207" s="91" t="s">
        <v>9</v>
      </c>
      <c r="H207" s="1"/>
      <c r="I207" s="1"/>
      <c r="J207" s="1"/>
      <c r="K207" s="8"/>
      <c r="L207" s="1"/>
      <c r="M207" s="1"/>
      <c r="N207" s="1"/>
      <c r="O207" s="1"/>
      <c r="P207" s="7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5" x14ac:dyDescent="0.25">
      <c r="A208" s="68" t="s">
        <v>205</v>
      </c>
      <c r="B208" s="66">
        <v>1</v>
      </c>
      <c r="C208" s="63">
        <v>0</v>
      </c>
      <c r="D208" s="66"/>
      <c r="E208" s="66"/>
      <c r="F208" s="67"/>
      <c r="G208" s="93" t="s">
        <v>9</v>
      </c>
      <c r="H208" s="1"/>
      <c r="I208" s="1"/>
      <c r="J208" s="1"/>
      <c r="K208" s="8"/>
      <c r="L208" s="1"/>
      <c r="M208" s="1"/>
      <c r="N208" s="1"/>
      <c r="O208" s="1"/>
      <c r="P208" s="7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5" x14ac:dyDescent="0.25">
      <c r="A209" s="52" t="s">
        <v>206</v>
      </c>
      <c r="B209" s="49">
        <v>0</v>
      </c>
      <c r="C209" s="46">
        <v>0</v>
      </c>
      <c r="D209" s="49"/>
      <c r="E209" s="49"/>
      <c r="F209" s="50"/>
      <c r="G209" s="91" t="s">
        <v>9</v>
      </c>
      <c r="H209" s="1"/>
      <c r="I209" s="1"/>
      <c r="J209" s="1"/>
      <c r="K209" s="8"/>
      <c r="L209" s="1"/>
      <c r="M209" s="1"/>
      <c r="N209" s="1"/>
      <c r="O209" s="1"/>
      <c r="P209" s="7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5" x14ac:dyDescent="0.25">
      <c r="A210" s="68" t="s">
        <v>207</v>
      </c>
      <c r="B210" s="66">
        <v>3</v>
      </c>
      <c r="C210" s="63">
        <f>641.2/1000</f>
        <v>0.64119999999999999</v>
      </c>
      <c r="D210" s="66"/>
      <c r="E210" s="66"/>
      <c r="F210" s="67"/>
      <c r="G210" s="93" t="s">
        <v>9</v>
      </c>
      <c r="H210" s="1"/>
      <c r="I210" s="1"/>
      <c r="J210" s="1"/>
      <c r="K210" s="8"/>
      <c r="L210" s="1"/>
      <c r="M210" s="1"/>
      <c r="N210" s="1"/>
      <c r="O210" s="1"/>
      <c r="P210" s="7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5" x14ac:dyDescent="0.25">
      <c r="A211" s="52" t="s">
        <v>208</v>
      </c>
      <c r="B211" s="51">
        <v>1</v>
      </c>
      <c r="C211" s="46">
        <v>0</v>
      </c>
      <c r="D211" s="49"/>
      <c r="E211" s="49"/>
      <c r="F211" s="50"/>
      <c r="G211" s="91" t="s">
        <v>9</v>
      </c>
      <c r="H211" s="1"/>
      <c r="I211" s="1"/>
      <c r="J211" s="1"/>
      <c r="K211" s="8"/>
      <c r="L211" s="1"/>
      <c r="M211" s="1"/>
      <c r="N211" s="1"/>
      <c r="O211" s="1"/>
      <c r="P211" s="7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5" x14ac:dyDescent="0.25">
      <c r="A212" s="68" t="s">
        <v>209</v>
      </c>
      <c r="B212" s="66">
        <v>1</v>
      </c>
      <c r="C212" s="63">
        <f>24.9/1000</f>
        <v>2.4899999999999999E-2</v>
      </c>
      <c r="D212" s="66"/>
      <c r="E212" s="66"/>
      <c r="F212" s="67"/>
      <c r="G212" s="93" t="s">
        <v>9</v>
      </c>
      <c r="H212" s="1"/>
      <c r="I212" s="1"/>
      <c r="J212" s="1"/>
      <c r="K212" s="8"/>
      <c r="L212" s="1"/>
      <c r="M212" s="1"/>
      <c r="N212" s="1"/>
      <c r="O212" s="1"/>
      <c r="P212" s="7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5" x14ac:dyDescent="0.25">
      <c r="A213" s="52" t="s">
        <v>210</v>
      </c>
      <c r="B213" s="49">
        <v>0</v>
      </c>
      <c r="C213" s="46">
        <v>0</v>
      </c>
      <c r="D213" s="49"/>
      <c r="E213" s="49"/>
      <c r="F213" s="50"/>
      <c r="G213" s="91" t="s">
        <v>9</v>
      </c>
      <c r="H213" s="1"/>
      <c r="I213" s="1"/>
      <c r="J213" s="1"/>
      <c r="K213" s="8"/>
      <c r="L213" s="1"/>
      <c r="M213" s="1"/>
      <c r="N213" s="1"/>
      <c r="O213" s="1"/>
      <c r="P213" s="7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5" x14ac:dyDescent="0.25">
      <c r="A214" s="68" t="s">
        <v>211</v>
      </c>
      <c r="B214" s="66">
        <v>2</v>
      </c>
      <c r="C214" s="63">
        <f>4.4/1000</f>
        <v>4.4000000000000003E-3</v>
      </c>
      <c r="D214" s="66"/>
      <c r="E214" s="66"/>
      <c r="F214" s="67"/>
      <c r="G214" s="93" t="s">
        <v>9</v>
      </c>
      <c r="H214" s="1"/>
      <c r="I214" s="1"/>
      <c r="J214" s="1"/>
      <c r="K214" s="8"/>
      <c r="L214" s="1"/>
      <c r="M214" s="1"/>
      <c r="N214" s="1"/>
      <c r="O214" s="1"/>
      <c r="P214" s="7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5" x14ac:dyDescent="0.25">
      <c r="A215" s="52" t="s">
        <v>212</v>
      </c>
      <c r="B215" s="49">
        <v>1</v>
      </c>
      <c r="C215" s="46">
        <v>0</v>
      </c>
      <c r="D215" s="49"/>
      <c r="E215" s="49"/>
      <c r="F215" s="50"/>
      <c r="G215" s="91" t="s">
        <v>9</v>
      </c>
      <c r="H215" s="1"/>
      <c r="I215" s="1"/>
      <c r="J215" s="1"/>
      <c r="K215" s="8"/>
      <c r="L215" s="1"/>
      <c r="M215" s="1"/>
      <c r="N215" s="1"/>
      <c r="O215" s="1"/>
      <c r="P215" s="7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5" x14ac:dyDescent="0.25">
      <c r="A216" s="68" t="s">
        <v>213</v>
      </c>
      <c r="B216" s="66">
        <v>0</v>
      </c>
      <c r="C216" s="63">
        <v>0</v>
      </c>
      <c r="D216" s="66"/>
      <c r="E216" s="66"/>
      <c r="F216" s="67"/>
      <c r="G216" s="93" t="s">
        <v>9</v>
      </c>
      <c r="H216" s="1"/>
      <c r="I216" s="1"/>
      <c r="J216" s="1"/>
      <c r="K216" s="8"/>
      <c r="L216" s="1"/>
      <c r="M216" s="1"/>
      <c r="N216" s="1"/>
      <c r="O216" s="1"/>
      <c r="P216" s="7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5" x14ac:dyDescent="0.25">
      <c r="A217" s="76">
        <v>2001</v>
      </c>
      <c r="B217" s="60"/>
      <c r="C217" s="61"/>
      <c r="D217" s="61"/>
      <c r="E217" s="61"/>
      <c r="F217" s="61"/>
      <c r="G217" s="77"/>
      <c r="H217" s="1"/>
      <c r="I217" s="1"/>
      <c r="J217" s="1"/>
      <c r="K217" s="8"/>
      <c r="L217" s="1"/>
      <c r="M217" s="1"/>
      <c r="N217" s="1"/>
      <c r="O217" s="1"/>
      <c r="P217" s="7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5" x14ac:dyDescent="0.25">
      <c r="A218" s="90">
        <v>45292</v>
      </c>
      <c r="B218" s="52">
        <v>0</v>
      </c>
      <c r="C218" s="46">
        <v>0</v>
      </c>
      <c r="D218" s="49"/>
      <c r="E218" s="50"/>
      <c r="F218" s="49"/>
      <c r="G218" s="91" t="s">
        <v>9</v>
      </c>
      <c r="H218" s="1"/>
      <c r="I218" s="1"/>
      <c r="J218" s="1"/>
      <c r="K218" s="8"/>
      <c r="L218" s="1"/>
      <c r="M218" s="1"/>
      <c r="N218" s="1"/>
      <c r="O218" s="1"/>
      <c r="P218" s="7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5" x14ac:dyDescent="0.25">
      <c r="A219" s="92">
        <v>45323</v>
      </c>
      <c r="B219" s="68">
        <v>1</v>
      </c>
      <c r="C219" s="63">
        <v>0</v>
      </c>
      <c r="D219" s="66"/>
      <c r="E219" s="67"/>
      <c r="F219" s="66"/>
      <c r="G219" s="93" t="s">
        <v>9</v>
      </c>
      <c r="H219" s="1"/>
      <c r="I219" s="1"/>
      <c r="J219" s="1"/>
      <c r="K219" s="8"/>
      <c r="L219" s="1"/>
      <c r="M219" s="1"/>
      <c r="N219" s="1"/>
      <c r="O219" s="1"/>
      <c r="P219" s="7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5" x14ac:dyDescent="0.25">
      <c r="A220" s="90">
        <v>45352</v>
      </c>
      <c r="B220" s="52">
        <v>3</v>
      </c>
      <c r="C220" s="46">
        <f>2.07/1000</f>
        <v>2.0699999999999998E-3</v>
      </c>
      <c r="D220" s="49"/>
      <c r="E220" s="50"/>
      <c r="F220" s="49"/>
      <c r="G220" s="91" t="s">
        <v>9</v>
      </c>
      <c r="H220" s="1"/>
      <c r="I220" s="1"/>
      <c r="J220" s="1"/>
      <c r="K220" s="8"/>
      <c r="L220" s="1"/>
      <c r="M220" s="1"/>
      <c r="N220" s="1"/>
      <c r="O220" s="1"/>
      <c r="P220" s="7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5" x14ac:dyDescent="0.25">
      <c r="A221" s="92">
        <v>45383</v>
      </c>
      <c r="B221" s="68">
        <v>0</v>
      </c>
      <c r="C221" s="63">
        <v>0</v>
      </c>
      <c r="D221" s="66"/>
      <c r="E221" s="67"/>
      <c r="F221" s="66"/>
      <c r="G221" s="93" t="s">
        <v>9</v>
      </c>
      <c r="H221" s="1"/>
      <c r="I221" s="1"/>
      <c r="J221" s="1"/>
      <c r="K221" s="8"/>
      <c r="L221" s="1"/>
      <c r="M221" s="1"/>
      <c r="N221" s="1"/>
      <c r="O221" s="1"/>
      <c r="P221" s="7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5" x14ac:dyDescent="0.25">
      <c r="A222" s="96">
        <v>45413</v>
      </c>
      <c r="B222" s="52">
        <v>2</v>
      </c>
      <c r="C222" s="46">
        <v>0</v>
      </c>
      <c r="D222" s="49"/>
      <c r="E222" s="50"/>
      <c r="F222" s="49"/>
      <c r="G222" s="91" t="s">
        <v>9</v>
      </c>
      <c r="H222" s="1"/>
      <c r="I222" s="1"/>
      <c r="J222" s="1"/>
      <c r="K222" s="8"/>
      <c r="L222" s="1"/>
      <c r="M222" s="1"/>
      <c r="N222" s="1"/>
      <c r="O222" s="1"/>
      <c r="P222" s="7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5" x14ac:dyDescent="0.25">
      <c r="A223" s="92">
        <v>45444</v>
      </c>
      <c r="B223" s="68">
        <v>0</v>
      </c>
      <c r="C223" s="63">
        <v>0</v>
      </c>
      <c r="D223" s="66"/>
      <c r="E223" s="67"/>
      <c r="F223" s="66"/>
      <c r="G223" s="93" t="s">
        <v>9</v>
      </c>
      <c r="H223" s="1"/>
      <c r="I223" s="1"/>
      <c r="J223" s="1"/>
      <c r="K223" s="8"/>
      <c r="L223" s="1"/>
      <c r="M223" s="1"/>
      <c r="N223" s="1"/>
      <c r="O223" s="1"/>
      <c r="P223" s="7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5" x14ac:dyDescent="0.25">
      <c r="A224" s="90">
        <v>45474</v>
      </c>
      <c r="B224" s="52">
        <v>2</v>
      </c>
      <c r="C224" s="46">
        <f>0.509/1000</f>
        <v>5.0900000000000001E-4</v>
      </c>
      <c r="D224" s="49"/>
      <c r="E224" s="50"/>
      <c r="F224" s="49"/>
      <c r="G224" s="91" t="s">
        <v>9</v>
      </c>
      <c r="H224" s="1"/>
      <c r="I224" s="1"/>
      <c r="J224" s="1"/>
      <c r="K224" s="8"/>
      <c r="L224" s="1"/>
      <c r="M224" s="1"/>
      <c r="N224" s="1"/>
      <c r="O224" s="1"/>
      <c r="P224" s="7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5" x14ac:dyDescent="0.25">
      <c r="A225" s="92">
        <v>45505</v>
      </c>
      <c r="B225" s="68">
        <v>1</v>
      </c>
      <c r="C225" s="63">
        <v>0</v>
      </c>
      <c r="D225" s="66"/>
      <c r="E225" s="67"/>
      <c r="F225" s="66"/>
      <c r="G225" s="93" t="s">
        <v>9</v>
      </c>
      <c r="H225" s="1"/>
      <c r="I225" s="1"/>
      <c r="J225" s="1"/>
      <c r="K225" s="8"/>
      <c r="L225" s="1"/>
      <c r="M225" s="1"/>
      <c r="N225" s="1"/>
      <c r="O225" s="1"/>
      <c r="P225" s="7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5" x14ac:dyDescent="0.25">
      <c r="A226" s="90">
        <v>45536</v>
      </c>
      <c r="B226" s="52">
        <v>2</v>
      </c>
      <c r="C226" s="46">
        <f>1.29/1000</f>
        <v>1.2900000000000001E-3</v>
      </c>
      <c r="D226" s="49"/>
      <c r="E226" s="50"/>
      <c r="F226" s="49"/>
      <c r="G226" s="91" t="s">
        <v>9</v>
      </c>
      <c r="H226" s="1"/>
      <c r="I226" s="1"/>
      <c r="J226" s="1"/>
      <c r="K226" s="8"/>
      <c r="L226" s="1"/>
      <c r="M226" s="1"/>
      <c r="N226" s="1"/>
      <c r="O226" s="1"/>
      <c r="P226" s="7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5" x14ac:dyDescent="0.25">
      <c r="A227" s="92">
        <v>45566</v>
      </c>
      <c r="B227" s="68">
        <v>0</v>
      </c>
      <c r="C227" s="63">
        <v>0</v>
      </c>
      <c r="D227" s="66"/>
      <c r="E227" s="67"/>
      <c r="F227" s="66"/>
      <c r="G227" s="93" t="s">
        <v>9</v>
      </c>
      <c r="H227" s="1"/>
      <c r="I227" s="1"/>
      <c r="J227" s="1"/>
      <c r="K227" s="8"/>
      <c r="L227" s="1"/>
      <c r="M227" s="1"/>
      <c r="N227" s="1"/>
      <c r="O227" s="1"/>
      <c r="P227" s="7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5" x14ac:dyDescent="0.25">
      <c r="A228" s="90">
        <v>45597</v>
      </c>
      <c r="B228" s="52">
        <v>3</v>
      </c>
      <c r="C228" s="46">
        <f>48.7/1000</f>
        <v>4.87E-2</v>
      </c>
      <c r="D228" s="49"/>
      <c r="E228" s="50"/>
      <c r="F228" s="49"/>
      <c r="G228" s="91" t="s">
        <v>9</v>
      </c>
      <c r="H228" s="1"/>
      <c r="I228" s="1"/>
      <c r="J228" s="1"/>
      <c r="K228" s="8"/>
      <c r="L228" s="1"/>
      <c r="M228" s="1"/>
      <c r="N228" s="1"/>
      <c r="O228" s="1"/>
      <c r="P228" s="7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5" x14ac:dyDescent="0.25">
      <c r="A229" s="92">
        <v>45627</v>
      </c>
      <c r="B229" s="68">
        <v>1</v>
      </c>
      <c r="C229" s="63">
        <v>0</v>
      </c>
      <c r="D229" s="66"/>
      <c r="E229" s="67"/>
      <c r="F229" s="66"/>
      <c r="G229" s="93" t="s">
        <v>9</v>
      </c>
      <c r="H229" s="1"/>
      <c r="I229" s="1"/>
      <c r="J229" s="1"/>
      <c r="K229" s="8"/>
      <c r="L229" s="1"/>
      <c r="M229" s="1"/>
      <c r="N229" s="1"/>
      <c r="O229" s="1"/>
      <c r="P229" s="7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5" x14ac:dyDescent="0.25">
      <c r="A230" s="76">
        <v>2002</v>
      </c>
      <c r="B230" s="60"/>
      <c r="C230" s="61"/>
      <c r="D230" s="61"/>
      <c r="E230" s="61"/>
      <c r="F230" s="61"/>
      <c r="G230" s="77"/>
      <c r="H230" s="1"/>
      <c r="I230" s="1"/>
      <c r="J230" s="1"/>
      <c r="K230" s="8"/>
      <c r="L230" s="1"/>
      <c r="M230" s="1"/>
      <c r="N230" s="1"/>
      <c r="O230" s="1"/>
      <c r="P230" s="7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5" x14ac:dyDescent="0.25">
      <c r="A231" s="88" t="s">
        <v>214</v>
      </c>
      <c r="B231" s="49">
        <v>2</v>
      </c>
      <c r="C231" s="46">
        <f>8.5/1000</f>
        <v>8.5000000000000006E-3</v>
      </c>
      <c r="D231" s="49"/>
      <c r="E231" s="49"/>
      <c r="F231" s="50"/>
      <c r="G231" s="91" t="s">
        <v>9</v>
      </c>
      <c r="H231" s="1"/>
      <c r="I231" s="1"/>
      <c r="J231" s="1"/>
      <c r="K231" s="8"/>
      <c r="L231" s="1"/>
      <c r="M231" s="1"/>
      <c r="N231" s="1"/>
      <c r="O231" s="1"/>
      <c r="P231" s="7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5" x14ac:dyDescent="0.25">
      <c r="A232" s="87" t="s">
        <v>215</v>
      </c>
      <c r="B232" s="66">
        <v>2</v>
      </c>
      <c r="C232" s="63">
        <f>292.5/1000</f>
        <v>0.29249999999999998</v>
      </c>
      <c r="D232" s="66"/>
      <c r="E232" s="66"/>
      <c r="F232" s="67"/>
      <c r="G232" s="93" t="s">
        <v>9</v>
      </c>
      <c r="H232" s="1"/>
      <c r="I232" s="1"/>
      <c r="J232" s="1"/>
      <c r="K232" s="8"/>
      <c r="L232" s="1"/>
      <c r="M232" s="1"/>
      <c r="N232" s="1"/>
      <c r="O232" s="1"/>
      <c r="P232" s="7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5" x14ac:dyDescent="0.25">
      <c r="A233" s="88" t="s">
        <v>216</v>
      </c>
      <c r="B233" s="49">
        <v>1</v>
      </c>
      <c r="C233" s="46">
        <v>0</v>
      </c>
      <c r="D233" s="49"/>
      <c r="E233" s="49"/>
      <c r="F233" s="50"/>
      <c r="G233" s="91" t="s">
        <v>9</v>
      </c>
      <c r="H233" s="1"/>
      <c r="I233" s="1"/>
      <c r="J233" s="1"/>
      <c r="K233" s="8"/>
      <c r="L233" s="1"/>
      <c r="M233" s="1"/>
      <c r="N233" s="1"/>
      <c r="O233" s="1"/>
      <c r="P233" s="7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5" x14ac:dyDescent="0.25">
      <c r="A234" s="87" t="s">
        <v>217</v>
      </c>
      <c r="B234" s="66">
        <v>1</v>
      </c>
      <c r="C234" s="63">
        <f>2/1000</f>
        <v>2E-3</v>
      </c>
      <c r="D234" s="66"/>
      <c r="E234" s="66"/>
      <c r="F234" s="67"/>
      <c r="G234" s="93" t="s">
        <v>9</v>
      </c>
      <c r="H234" s="1"/>
      <c r="I234" s="1"/>
      <c r="J234" s="1"/>
      <c r="K234" s="8"/>
      <c r="L234" s="1"/>
      <c r="M234" s="1"/>
      <c r="N234" s="1"/>
      <c r="O234" s="1"/>
      <c r="P234" s="7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5" x14ac:dyDescent="0.25">
      <c r="A235" s="88" t="s">
        <v>218</v>
      </c>
      <c r="B235" s="49">
        <v>1</v>
      </c>
      <c r="C235" s="46">
        <f>3.87/1000</f>
        <v>3.8700000000000002E-3</v>
      </c>
      <c r="D235" s="49"/>
      <c r="E235" s="49"/>
      <c r="F235" s="50"/>
      <c r="G235" s="91" t="s">
        <v>9</v>
      </c>
      <c r="H235" s="1"/>
      <c r="I235" s="1"/>
      <c r="J235" s="1"/>
      <c r="K235" s="8"/>
      <c r="L235" s="1"/>
      <c r="M235" s="1"/>
      <c r="N235" s="1"/>
      <c r="O235" s="1"/>
      <c r="P235" s="7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5" x14ac:dyDescent="0.25">
      <c r="A236" s="87" t="s">
        <v>219</v>
      </c>
      <c r="B236" s="66">
        <v>2</v>
      </c>
      <c r="C236" s="63">
        <v>0</v>
      </c>
      <c r="D236" s="66"/>
      <c r="E236" s="66"/>
      <c r="F236" s="67"/>
      <c r="G236" s="93" t="s">
        <v>9</v>
      </c>
      <c r="H236" s="1"/>
      <c r="I236" s="1"/>
      <c r="J236" s="1"/>
      <c r="K236" s="8"/>
      <c r="L236" s="1"/>
      <c r="M236" s="1"/>
      <c r="N236" s="1"/>
      <c r="O236" s="1"/>
      <c r="P236" s="7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5" x14ac:dyDescent="0.25">
      <c r="A237" s="88" t="s">
        <v>220</v>
      </c>
      <c r="B237" s="49">
        <v>2</v>
      </c>
      <c r="C237" s="46">
        <v>0</v>
      </c>
      <c r="D237" s="49"/>
      <c r="E237" s="49"/>
      <c r="F237" s="50"/>
      <c r="G237" s="91" t="s">
        <v>9</v>
      </c>
      <c r="H237" s="1"/>
      <c r="I237" s="1"/>
      <c r="J237" s="1"/>
      <c r="K237" s="8"/>
      <c r="L237" s="1"/>
      <c r="M237" s="1"/>
      <c r="N237" s="1"/>
      <c r="O237" s="1"/>
      <c r="P237" s="7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5" x14ac:dyDescent="0.25">
      <c r="A238" s="87" t="s">
        <v>221</v>
      </c>
      <c r="B238" s="66">
        <v>2</v>
      </c>
      <c r="C238" s="63">
        <f>5/1000</f>
        <v>5.0000000000000001E-3</v>
      </c>
      <c r="D238" s="66"/>
      <c r="E238" s="66"/>
      <c r="F238" s="67"/>
      <c r="G238" s="93" t="s">
        <v>9</v>
      </c>
      <c r="H238" s="1"/>
      <c r="I238" s="1"/>
      <c r="J238" s="1"/>
      <c r="K238" s="8"/>
      <c r="L238" s="1"/>
      <c r="M238" s="1"/>
      <c r="N238" s="1"/>
      <c r="O238" s="1"/>
      <c r="P238" s="7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5" x14ac:dyDescent="0.25">
      <c r="A239" s="88" t="s">
        <v>222</v>
      </c>
      <c r="B239" s="49">
        <v>3</v>
      </c>
      <c r="C239" s="46">
        <f>235.2/1000</f>
        <v>0.23519999999999999</v>
      </c>
      <c r="D239" s="49"/>
      <c r="E239" s="49"/>
      <c r="F239" s="50"/>
      <c r="G239" s="91" t="s">
        <v>9</v>
      </c>
      <c r="H239" s="1"/>
      <c r="I239" s="1"/>
      <c r="J239" s="1"/>
      <c r="K239" s="8"/>
      <c r="L239" s="1"/>
      <c r="M239" s="1"/>
      <c r="N239" s="1"/>
      <c r="O239" s="1"/>
      <c r="P239" s="7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5" x14ac:dyDescent="0.25">
      <c r="A240" s="87" t="s">
        <v>223</v>
      </c>
      <c r="B240" s="66">
        <v>3</v>
      </c>
      <c r="C240" s="63">
        <f>35.4/1000</f>
        <v>3.5400000000000001E-2</v>
      </c>
      <c r="D240" s="66"/>
      <c r="E240" s="66"/>
      <c r="F240" s="67"/>
      <c r="G240" s="93" t="s">
        <v>9</v>
      </c>
      <c r="H240" s="1"/>
      <c r="I240" s="1"/>
      <c r="J240" s="1"/>
      <c r="K240" s="8"/>
      <c r="L240" s="1"/>
      <c r="M240" s="1"/>
      <c r="N240" s="1"/>
      <c r="O240" s="1"/>
      <c r="P240" s="7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5" x14ac:dyDescent="0.25">
      <c r="A241" s="88" t="s">
        <v>224</v>
      </c>
      <c r="B241" s="49">
        <v>3</v>
      </c>
      <c r="C241" s="46">
        <f>3/1000</f>
        <v>3.0000000000000001E-3</v>
      </c>
      <c r="D241" s="49"/>
      <c r="E241" s="49"/>
      <c r="F241" s="50"/>
      <c r="G241" s="91" t="s">
        <v>9</v>
      </c>
      <c r="H241" s="1"/>
      <c r="I241" s="1"/>
      <c r="J241" s="1"/>
      <c r="K241" s="8"/>
      <c r="L241" s="1"/>
      <c r="M241" s="1"/>
      <c r="N241" s="1"/>
      <c r="O241" s="1"/>
      <c r="P241" s="7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5" x14ac:dyDescent="0.25">
      <c r="A242" s="87" t="s">
        <v>225</v>
      </c>
      <c r="B242" s="66">
        <v>0</v>
      </c>
      <c r="C242" s="63">
        <v>0</v>
      </c>
      <c r="D242" s="66"/>
      <c r="E242" s="66"/>
      <c r="F242" s="67"/>
      <c r="G242" s="93" t="s">
        <v>9</v>
      </c>
      <c r="H242" s="1"/>
      <c r="I242" s="1"/>
      <c r="J242" s="1"/>
      <c r="K242" s="8"/>
      <c r="L242" s="1"/>
      <c r="M242" s="1"/>
      <c r="N242" s="1"/>
      <c r="O242" s="1"/>
      <c r="P242" s="7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5" x14ac:dyDescent="0.25">
      <c r="A243" s="76">
        <v>2003</v>
      </c>
      <c r="B243" s="60"/>
      <c r="C243" s="61"/>
      <c r="D243" s="61"/>
      <c r="E243" s="61"/>
      <c r="F243" s="61"/>
      <c r="G243" s="77"/>
      <c r="K243" s="9"/>
      <c r="L243" s="2"/>
      <c r="M243" s="11"/>
      <c r="N243" s="11"/>
      <c r="O243" s="11"/>
      <c r="P243" s="11"/>
      <c r="Q243" s="1"/>
    </row>
    <row r="244" spans="1:26" ht="12.5" x14ac:dyDescent="0.25">
      <c r="A244" s="88" t="s">
        <v>226</v>
      </c>
      <c r="B244" s="53">
        <v>1</v>
      </c>
      <c r="C244" s="46">
        <f>115/1000</f>
        <v>0.115</v>
      </c>
      <c r="D244" s="46"/>
      <c r="E244" s="46"/>
      <c r="F244" s="46"/>
      <c r="G244" s="49" t="s">
        <v>9</v>
      </c>
      <c r="K244" s="9"/>
      <c r="L244" s="2"/>
      <c r="M244" s="11"/>
      <c r="N244" s="11"/>
      <c r="O244" s="11"/>
      <c r="P244" s="11"/>
      <c r="Q244" s="1"/>
    </row>
    <row r="245" spans="1:26" ht="12.5" x14ac:dyDescent="0.25">
      <c r="A245" s="87" t="s">
        <v>227</v>
      </c>
      <c r="B245" s="69">
        <v>0</v>
      </c>
      <c r="C245" s="63">
        <v>0</v>
      </c>
      <c r="D245" s="63"/>
      <c r="E245" s="63"/>
      <c r="F245" s="63"/>
      <c r="G245" s="66" t="s">
        <v>9</v>
      </c>
      <c r="K245" s="9"/>
      <c r="L245" s="2"/>
      <c r="M245" s="11"/>
      <c r="N245" s="11"/>
      <c r="O245" s="11"/>
      <c r="P245" s="11"/>
      <c r="Q245" s="1"/>
    </row>
    <row r="246" spans="1:26" ht="12.5" x14ac:dyDescent="0.25">
      <c r="A246" s="88" t="s">
        <v>228</v>
      </c>
      <c r="B246" s="53">
        <v>3</v>
      </c>
      <c r="C246" s="46">
        <f>7.83/1000</f>
        <v>7.8300000000000002E-3</v>
      </c>
      <c r="D246" s="46"/>
      <c r="E246" s="46"/>
      <c r="F246" s="46"/>
      <c r="G246" s="49" t="s">
        <v>9</v>
      </c>
      <c r="K246" s="9"/>
      <c r="L246" s="2"/>
      <c r="M246" s="11"/>
      <c r="N246" s="11"/>
      <c r="O246" s="11"/>
      <c r="P246" s="11"/>
      <c r="Q246" s="1"/>
    </row>
    <row r="247" spans="1:26" ht="12.5" x14ac:dyDescent="0.25">
      <c r="A247" s="87" t="s">
        <v>229</v>
      </c>
      <c r="B247" s="69">
        <v>1</v>
      </c>
      <c r="C247" s="63">
        <f>162.3/1000</f>
        <v>0.1623</v>
      </c>
      <c r="D247" s="63"/>
      <c r="E247" s="63"/>
      <c r="F247" s="63"/>
      <c r="G247" s="66" t="s">
        <v>9</v>
      </c>
      <c r="K247" s="9"/>
      <c r="L247" s="2"/>
      <c r="M247" s="11"/>
      <c r="N247" s="11"/>
      <c r="O247" s="11"/>
      <c r="P247" s="11"/>
      <c r="Q247" s="1"/>
    </row>
    <row r="248" spans="1:26" ht="12.5" x14ac:dyDescent="0.25">
      <c r="A248" s="88" t="s">
        <v>230</v>
      </c>
      <c r="B248" s="53">
        <v>0</v>
      </c>
      <c r="C248" s="46">
        <v>0</v>
      </c>
      <c r="D248" s="46"/>
      <c r="E248" s="46"/>
      <c r="F248" s="46"/>
      <c r="G248" s="49" t="s">
        <v>9</v>
      </c>
      <c r="K248" s="9"/>
      <c r="L248" s="2"/>
      <c r="M248" s="11"/>
      <c r="N248" s="11"/>
      <c r="O248" s="11"/>
      <c r="P248" s="11"/>
      <c r="Q248" s="1"/>
    </row>
    <row r="249" spans="1:26" ht="12.5" x14ac:dyDescent="0.25">
      <c r="A249" s="87" t="s">
        <v>231</v>
      </c>
      <c r="B249" s="69">
        <v>1</v>
      </c>
      <c r="C249" s="63">
        <v>0</v>
      </c>
      <c r="D249" s="63"/>
      <c r="E249" s="63"/>
      <c r="F249" s="63"/>
      <c r="G249" s="66" t="s">
        <v>9</v>
      </c>
      <c r="K249" s="9"/>
      <c r="L249" s="2"/>
      <c r="M249" s="11"/>
      <c r="N249" s="11"/>
      <c r="O249" s="11"/>
      <c r="P249" s="11"/>
      <c r="Q249" s="1"/>
    </row>
    <row r="250" spans="1:26" ht="12.5" x14ac:dyDescent="0.25">
      <c r="A250" s="88" t="s">
        <v>232</v>
      </c>
      <c r="B250" s="48">
        <v>1</v>
      </c>
      <c r="C250" s="46">
        <v>0</v>
      </c>
      <c r="D250" s="46"/>
      <c r="E250" s="46"/>
      <c r="F250" s="46"/>
      <c r="G250" s="49" t="s">
        <v>9</v>
      </c>
      <c r="K250" s="9"/>
      <c r="L250" s="2"/>
      <c r="M250" s="11"/>
      <c r="N250" s="11"/>
      <c r="O250" s="11"/>
      <c r="P250" s="11"/>
      <c r="Q250" s="1"/>
    </row>
    <row r="251" spans="1:26" ht="12.5" x14ac:dyDescent="0.25">
      <c r="A251" s="87" t="s">
        <v>233</v>
      </c>
      <c r="B251" s="69">
        <v>2</v>
      </c>
      <c r="C251" s="63">
        <f>70/1000</f>
        <v>7.0000000000000007E-2</v>
      </c>
      <c r="D251" s="63"/>
      <c r="E251" s="63"/>
      <c r="F251" s="63"/>
      <c r="G251" s="66" t="s">
        <v>9</v>
      </c>
      <c r="K251" s="9"/>
      <c r="L251" s="2"/>
      <c r="M251" s="11"/>
      <c r="N251" s="11"/>
      <c r="O251" s="11"/>
      <c r="P251" s="11"/>
      <c r="Q251" s="1"/>
    </row>
    <row r="252" spans="1:26" ht="12.5" x14ac:dyDescent="0.25">
      <c r="A252" s="88" t="s">
        <v>234</v>
      </c>
      <c r="B252" s="53">
        <v>3</v>
      </c>
      <c r="C252" s="46">
        <v>0</v>
      </c>
      <c r="D252" s="46"/>
      <c r="E252" s="46"/>
      <c r="F252" s="46"/>
      <c r="G252" s="49" t="s">
        <v>9</v>
      </c>
      <c r="K252" s="9"/>
      <c r="L252" s="2"/>
      <c r="M252" s="11"/>
      <c r="N252" s="11"/>
      <c r="O252" s="11"/>
      <c r="P252" s="11"/>
      <c r="Q252" s="1"/>
    </row>
    <row r="253" spans="1:26" ht="12.5" x14ac:dyDescent="0.25">
      <c r="A253" s="87" t="s">
        <v>235</v>
      </c>
      <c r="B253" s="69">
        <v>2</v>
      </c>
      <c r="C253" s="63">
        <f>0.999/1000</f>
        <v>9.990000000000001E-4</v>
      </c>
      <c r="D253" s="63"/>
      <c r="E253" s="63"/>
      <c r="F253" s="63"/>
      <c r="G253" s="66" t="s">
        <v>9</v>
      </c>
      <c r="K253" s="9"/>
      <c r="L253" s="2"/>
      <c r="M253" s="11"/>
      <c r="N253" s="11"/>
      <c r="O253" s="11"/>
      <c r="P253" s="11"/>
      <c r="Q253" s="1"/>
    </row>
    <row r="254" spans="1:26" ht="12.5" x14ac:dyDescent="0.25">
      <c r="A254" s="88" t="s">
        <v>236</v>
      </c>
      <c r="B254" s="53">
        <v>3</v>
      </c>
      <c r="C254" s="46">
        <f>31/1000</f>
        <v>3.1E-2</v>
      </c>
      <c r="D254" s="46"/>
      <c r="E254" s="46"/>
      <c r="F254" s="46"/>
      <c r="G254" s="49" t="s">
        <v>9</v>
      </c>
      <c r="K254" s="9"/>
      <c r="L254" s="2"/>
      <c r="M254" s="11"/>
      <c r="N254" s="11"/>
      <c r="O254" s="11"/>
      <c r="P254" s="11"/>
      <c r="Q254" s="1"/>
    </row>
    <row r="255" spans="1:26" ht="12.5" x14ac:dyDescent="0.25">
      <c r="A255" s="87" t="s">
        <v>237</v>
      </c>
      <c r="B255" s="69">
        <v>4</v>
      </c>
      <c r="C255" s="63">
        <f>462.4/1000</f>
        <v>0.46239999999999998</v>
      </c>
      <c r="D255" s="63" t="str">
        <f ca="1">IFERROR(__xludf.DUMMYFUNCTION("C249*IMPORTRANGE(""https://docs.google.com/spreadsheets/d/1xsp01RMmkav9iTy39Zaj_7tE9677EGlOJ14KU9TZn7I/"",""2003-2017!H25"")"),"#REF!")</f>
        <v>#REF!</v>
      </c>
      <c r="E255" s="63" t="str">
        <f ca="1">IFERROR(__xludf.DUMMYFUNCTION("D249*IMPORTRANGE(""https://docs.google.com/spreadsheets/d/1xsp01RMmkav9iTy39Zaj_7tE9677EGlOJ14KU9TZn7I/"",""2003-2017!t25"")"),"#REF!")</f>
        <v>#REF!</v>
      </c>
      <c r="F255" s="63" t="str">
        <f ca="1">IFERROR(__xludf.DUMMYFUNCTION("E249*IMPORTRANGE(""https://docs.google.com/spreadsheets/d/1xsp01RMmkav9iTy39Zaj_7tE9677EGlOJ14KU9TZn7I/"",""2003-2017!AC25"")"),"#REF!")</f>
        <v>#REF!</v>
      </c>
      <c r="G255" s="66" t="s">
        <v>9</v>
      </c>
      <c r="K255" s="9"/>
      <c r="L255" s="2"/>
      <c r="M255" s="11"/>
      <c r="N255" s="11"/>
      <c r="O255" s="11"/>
      <c r="P255" s="11"/>
      <c r="Q255" s="1"/>
    </row>
    <row r="256" spans="1:26" ht="12.5" x14ac:dyDescent="0.25">
      <c r="A256" s="76">
        <v>2004</v>
      </c>
      <c r="B256" s="60"/>
      <c r="C256" s="75"/>
      <c r="D256" s="75"/>
      <c r="E256" s="75"/>
      <c r="F256" s="75"/>
      <c r="G256" s="77"/>
      <c r="K256" s="9"/>
      <c r="L256" s="2"/>
      <c r="M256" s="11"/>
      <c r="N256" s="11"/>
      <c r="O256" s="11"/>
      <c r="P256" s="11"/>
      <c r="Q256" s="1"/>
    </row>
    <row r="257" spans="1:17" ht="12.5" x14ac:dyDescent="0.25">
      <c r="A257" s="88" t="s">
        <v>238</v>
      </c>
      <c r="B257" s="53">
        <v>2</v>
      </c>
      <c r="C257" s="46">
        <f>15/1000</f>
        <v>1.4999999999999999E-2</v>
      </c>
      <c r="D257" s="46" t="str">
        <f ca="1">IFERROR(__xludf.DUMMYFUNCTION("C251*IMPORTRANGE(""https://docs.google.com/spreadsheets/d/1xsp01RMmkav9iTy39Zaj_7tE9677EGlOJ14KU9TZn7I/"",""2003-2017!H49"")"),"#REF!")</f>
        <v>#REF!</v>
      </c>
      <c r="E257" s="46" t="str">
        <f ca="1">IFERROR(__xludf.DUMMYFUNCTION("C251*IMPORTRANGE(""https://docs.google.com/spreadsheets/d/1xsp01RMmkav9iTy39Zaj_7tE9677EGlOJ14KU9TZn7I/"",""2003-2017!t49"")"),"#REF!")</f>
        <v>#REF!</v>
      </c>
      <c r="F257" s="46" t="str">
        <f ca="1">IFERROR(__xludf.DUMMYFUNCTION("C251*IMPORTRANGE(""https://docs.google.com/spreadsheets/d/1xsp01RMmkav9iTy39Zaj_7tE9677EGlOJ14KU9TZn7I/"",""2003-2017!AC49"")"),"#REF!")</f>
        <v>#REF!</v>
      </c>
      <c r="G257" s="49" t="s">
        <v>9</v>
      </c>
      <c r="K257" s="9"/>
      <c r="L257" s="2"/>
      <c r="M257" s="11"/>
      <c r="N257" s="11"/>
      <c r="O257" s="11"/>
      <c r="P257" s="11"/>
      <c r="Q257" s="1"/>
    </row>
    <row r="258" spans="1:17" ht="12.5" x14ac:dyDescent="0.25">
      <c r="A258" s="87" t="s">
        <v>239</v>
      </c>
      <c r="B258" s="69">
        <v>1</v>
      </c>
      <c r="C258" s="63">
        <v>0</v>
      </c>
      <c r="D258" s="63" t="str">
        <f ca="1">IFERROR(__xludf.DUMMYFUNCTION("C252*IMPORTRANGE(""https://docs.google.com/spreadsheets/d/1xsp01RMmkav9iTy39Zaj_7tE9677EGlOJ14KU9TZn7I/"",""2003-2017!H70"")"),"#REF!")</f>
        <v>#REF!</v>
      </c>
      <c r="E258" s="63" t="str">
        <f ca="1">IFERROR(__xludf.DUMMYFUNCTION("C252*IMPORTRANGE(""https://docs.google.com/spreadsheets/d/1xsp01RMmkav9iTy39Zaj_7tE9677EGlOJ14KU9TZn7I/"",""2003-2017!T70"")"),"#REF!")</f>
        <v>#REF!</v>
      </c>
      <c r="F258" s="63" t="str">
        <f ca="1">IFERROR(__xludf.DUMMYFUNCTION("C252*IMPORTRANGE(""https://docs.google.com/spreadsheets/d/1xsp01RMmkav9iTy39Zaj_7tE9677EGlOJ14KU9TZn7I/"",""2003-2017!AC70"")"),"#REF!")</f>
        <v>#REF!</v>
      </c>
      <c r="G258" s="66" t="s">
        <v>9</v>
      </c>
      <c r="K258" s="9"/>
      <c r="L258" s="2"/>
      <c r="M258" s="11"/>
      <c r="N258" s="11"/>
      <c r="O258" s="11"/>
      <c r="P258" s="11"/>
      <c r="Q258" s="1"/>
    </row>
    <row r="259" spans="1:17" ht="12.5" x14ac:dyDescent="0.25">
      <c r="A259" s="88" t="s">
        <v>240</v>
      </c>
      <c r="B259" s="53">
        <v>7</v>
      </c>
      <c r="C259" s="46">
        <f>208.7/1000</f>
        <v>0.2087</v>
      </c>
      <c r="D259" s="46" t="str">
        <f ca="1">IFERROR(__xludf.DUMMYFUNCTION("C253*IMPORTRANGE(""https://docs.google.com/spreadsheets/d/1xsp01RMmkav9iTy39Zaj_7tE9677EGlOJ14KU9TZn7I/"",""2003-2017!H94"")"),"#REF!")</f>
        <v>#REF!</v>
      </c>
      <c r="E259" s="46" t="str">
        <f ca="1">IFERROR(__xludf.DUMMYFUNCTION("C253*IMPORTRANGE(""https://docs.google.com/spreadsheets/d/1xsp01RMmkav9iTy39Zaj_7tE9677EGlOJ14KU9TZn7I/"",""2003-2017!T94"")"),"#REF!")</f>
        <v>#REF!</v>
      </c>
      <c r="F259" s="46" t="str">
        <f ca="1">IFERROR(__xludf.DUMMYFUNCTION("E253*IMPORTRANGE(""https://docs.google.com/spreadsheets/d/1xsp01RMmkav9iTy39Zaj_7tE9677EGlOJ14KU9TZn7I/"",""2003-2017!AC94"")"),"#REF!")</f>
        <v>#REF!</v>
      </c>
      <c r="G259" s="49" t="s">
        <v>9</v>
      </c>
      <c r="K259" s="9"/>
      <c r="L259" s="2"/>
      <c r="M259" s="11"/>
      <c r="N259" s="11"/>
      <c r="O259" s="11"/>
      <c r="P259" s="11"/>
      <c r="Q259" s="1"/>
    </row>
    <row r="260" spans="1:17" ht="12.5" x14ac:dyDescent="0.25">
      <c r="A260" s="87" t="s">
        <v>241</v>
      </c>
      <c r="B260" s="69">
        <v>1</v>
      </c>
      <c r="C260" s="63">
        <v>0</v>
      </c>
      <c r="D260" s="63" t="str">
        <f ca="1">IFERROR(__xludf.DUMMYFUNCTION("C254*IMPORTRANGE(""https://docs.google.com/spreadsheets/d/1xsp01RMmkav9iTy39Zaj_7tE9677EGlOJ14KU9TZn7I/"",""2003-2017!H117"")"),"#REF!")</f>
        <v>#REF!</v>
      </c>
      <c r="E260" s="63" t="str">
        <f ca="1">IFERROR(__xludf.DUMMYFUNCTION("D254*IMPORTRANGE(""https://docs.google.com/spreadsheets/d/1xsp01RMmkav9iTy39Zaj_7tE9677EGlOJ14KU9TZn7I/"",""2003-2017!T117"")"),"#REF!")</f>
        <v>#REF!</v>
      </c>
      <c r="F260" s="63" t="str">
        <f ca="1">IFERROR(__xludf.DUMMYFUNCTION("C254*IMPORTRANGE(""https://docs.google.com/spreadsheets/d/1xsp01RMmkav9iTy39Zaj_7tE9677EGlOJ14KU9TZn7I/"",""2003-2017!AC117"")"),"#REF!")</f>
        <v>#REF!</v>
      </c>
      <c r="G260" s="66" t="s">
        <v>9</v>
      </c>
      <c r="K260" s="9"/>
      <c r="L260" s="2"/>
      <c r="M260" s="11"/>
      <c r="N260" s="11"/>
      <c r="O260" s="11"/>
      <c r="P260" s="11"/>
      <c r="Q260" s="1"/>
    </row>
    <row r="261" spans="1:17" ht="12.5" x14ac:dyDescent="0.25">
      <c r="A261" s="88" t="s">
        <v>242</v>
      </c>
      <c r="B261" s="53">
        <v>1</v>
      </c>
      <c r="C261" s="46">
        <v>0</v>
      </c>
      <c r="D261" s="46" t="str">
        <f ca="1">IFERROR(__xludf.DUMMYFUNCTION("C255*IMPORTRANGE(""https://docs.google.com/spreadsheets/d/1xsp01RMmkav9iTy39Zaj_7tE9677EGlOJ14KU9TZn7I/"",""2003-2017!H139"")"),"#REF!")</f>
        <v>#REF!</v>
      </c>
      <c r="E261" s="46" t="str">
        <f ca="1">IFERROR(__xludf.DUMMYFUNCTION("C255*IMPORTRANGE(""https://docs.google.com/spreadsheets/d/1xsp01RMmkav9iTy39Zaj_7tE9677EGlOJ14KU9TZn7I/"",""2003-2017!T139"")"),"#REF!")</f>
        <v>#REF!</v>
      </c>
      <c r="F261" s="46" t="str">
        <f ca="1">IFERROR(__xludf.DUMMYFUNCTION("C255*IMPORTRANGE(""https://docs.google.com/spreadsheets/d/1xsp01RMmkav9iTy39Zaj_7tE9677EGlOJ14KU9TZn7I/"",""2003-2017!AC139"")"),"#REF!")</f>
        <v>#REF!</v>
      </c>
      <c r="G261" s="49" t="s">
        <v>9</v>
      </c>
      <c r="K261" s="9"/>
      <c r="L261" s="2"/>
      <c r="M261" s="11"/>
      <c r="N261" s="11"/>
      <c r="O261" s="11"/>
      <c r="P261" s="11"/>
      <c r="Q261" s="1"/>
    </row>
    <row r="262" spans="1:17" ht="12.5" x14ac:dyDescent="0.25">
      <c r="A262" s="87" t="s">
        <v>243</v>
      </c>
      <c r="B262" s="69">
        <v>1</v>
      </c>
      <c r="C262" s="63">
        <f>16.7/1000</f>
        <v>1.67E-2</v>
      </c>
      <c r="D262" s="63" t="str">
        <f ca="1">IFERROR(__xludf.DUMMYFUNCTION("C256*IMPORTRANGE(""https://docs.google.com/spreadsheets/d/1xsp01RMmkav9iTy39Zaj_7tE9677EGlOJ14KU9TZn7I/"",""2003-2017!H162"")"),"#REF!")</f>
        <v>#REF!</v>
      </c>
      <c r="E262" s="63" t="str">
        <f ca="1">IFERROR(__xludf.DUMMYFUNCTION("C256*IMPORTRANGE(""https://docs.google.com/spreadsheets/d/1xsp01RMmkav9iTy39Zaj_7tE9677EGlOJ14KU9TZn7I/"",""2003-2017!T162"")"),"#REF!")</f>
        <v>#REF!</v>
      </c>
      <c r="F262" s="63" t="str">
        <f ca="1">IFERROR(__xludf.DUMMYFUNCTION("C256*IMPORTRANGE(""https://docs.google.com/spreadsheets/d/1xsp01RMmkav9iTy39Zaj_7tE9677EGlOJ14KU9TZn7I/"",""2003-2017!AC162"")"),"#REF!")</f>
        <v>#REF!</v>
      </c>
      <c r="G262" s="66" t="s">
        <v>9</v>
      </c>
      <c r="K262" s="9"/>
      <c r="L262" s="2"/>
      <c r="M262" s="11"/>
      <c r="N262" s="11"/>
      <c r="O262" s="11"/>
      <c r="P262" s="11"/>
      <c r="Q262" s="1"/>
    </row>
    <row r="263" spans="1:17" ht="12.5" x14ac:dyDescent="0.25">
      <c r="A263" s="88" t="s">
        <v>244</v>
      </c>
      <c r="B263" s="53">
        <v>0</v>
      </c>
      <c r="C263" s="46">
        <v>0</v>
      </c>
      <c r="D263" s="46" t="str">
        <f ca="1">IFERROR(__xludf.DUMMYFUNCTION("C257*IMPORTRANGE(""https://docs.google.com/spreadsheets/d/1xsp01RMmkav9iTy39Zaj_7tE9677EGlOJ14KU9TZn7I/"",""2003-2017!H185"")"),"#REF!")</f>
        <v>#REF!</v>
      </c>
      <c r="E263" s="46" t="str">
        <f ca="1">IFERROR(__xludf.DUMMYFUNCTION("C257*IMPORTRANGE(""https://docs.google.com/spreadsheets/d/1xsp01RMmkav9iTy39Zaj_7tE9677EGlOJ14KU9TZn7I/"",""2003-2017!T185"")"),"#REF!")</f>
        <v>#REF!</v>
      </c>
      <c r="F263" s="46" t="str">
        <f ca="1">IFERROR(__xludf.DUMMYFUNCTION("C257*IMPORTRANGE(""https://docs.google.com/spreadsheets/d/1xsp01RMmkav9iTy39Zaj_7tE9677EGlOJ14KU9TZn7I/"",""2003-2017!AC185"")"),"#REF!")</f>
        <v>#REF!</v>
      </c>
      <c r="G263" s="49" t="s">
        <v>9</v>
      </c>
      <c r="K263" s="9"/>
      <c r="L263" s="2"/>
      <c r="M263" s="11"/>
      <c r="N263" s="11"/>
      <c r="O263" s="11"/>
      <c r="P263" s="11"/>
      <c r="Q263" s="1"/>
    </row>
    <row r="264" spans="1:17" ht="12.5" x14ac:dyDescent="0.25">
      <c r="A264" s="87" t="s">
        <v>245</v>
      </c>
      <c r="B264" s="69">
        <v>1</v>
      </c>
      <c r="C264" s="63">
        <f>133.4/1000</f>
        <v>0.13340000000000002</v>
      </c>
      <c r="D264" s="63" t="str">
        <f ca="1">IFERROR(__xludf.DUMMYFUNCTION("C258*IMPORTRANGE(""https://docs.google.com/spreadsheets/d/1xsp01RMmkav9iTy39Zaj_7tE9677EGlOJ14KU9TZn7I/"",""2003-2017!H208"")"),"#REF!")</f>
        <v>#REF!</v>
      </c>
      <c r="E264" s="63" t="str">
        <f ca="1">IFERROR(__xludf.DUMMYFUNCTION("C258*IMPORTRANGE(""https://docs.google.com/spreadsheets/d/1xsp01RMmkav9iTy39Zaj_7tE9677EGlOJ14KU9TZn7I/"",""2003-2017!T208"")"),"#REF!")</f>
        <v>#REF!</v>
      </c>
      <c r="F264" s="63" t="str">
        <f ca="1">IFERROR(__xludf.DUMMYFUNCTION("C258*IMPORTRANGE(""https://docs.google.com/spreadsheets/d/1xsp01RMmkav9iTy39Zaj_7tE9677EGlOJ14KU9TZn7I/"",""2003-2017!AC208"")"),"#REF!")</f>
        <v>#REF!</v>
      </c>
      <c r="G264" s="66" t="s">
        <v>9</v>
      </c>
      <c r="K264" s="9"/>
      <c r="L264" s="2"/>
      <c r="M264" s="11"/>
      <c r="N264" s="11"/>
      <c r="O264" s="11"/>
      <c r="P264" s="11"/>
      <c r="Q264" s="1"/>
    </row>
    <row r="265" spans="1:17" ht="12.5" x14ac:dyDescent="0.25">
      <c r="A265" s="88" t="s">
        <v>246</v>
      </c>
      <c r="B265" s="53">
        <v>3</v>
      </c>
      <c r="C265" s="46">
        <f>95.7/1000</f>
        <v>9.5700000000000007E-2</v>
      </c>
      <c r="D265" s="46" t="str">
        <f ca="1">IFERROR(__xludf.DUMMYFUNCTION("C259*IMPORTRANGE(""https://docs.google.com/spreadsheets/d/1xsp01RMmkav9iTy39Zaj_7tE9677EGlOJ14KU9TZn7I/"",""2003-2017!H231"")"),"#REF!")</f>
        <v>#REF!</v>
      </c>
      <c r="E265" s="46" t="str">
        <f ca="1">IFERROR(__xludf.DUMMYFUNCTION("C259*IMPORTRANGE(""https://docs.google.com/spreadsheets/d/1xsp01RMmkav9iTy39Zaj_7tE9677EGlOJ14KU9TZn7I/"",""2003-2017!T231"")"),"#REF!")</f>
        <v>#REF!</v>
      </c>
      <c r="F265" s="46" t="str">
        <f ca="1">IFERROR(__xludf.DUMMYFUNCTION("C259*IMPORTRANGE(""https://docs.google.com/spreadsheets/d/1xsp01RMmkav9iTy39Zaj_7tE9677EGlOJ14KU9TZn7I/"",""2003-2017!AC231"")"),"#REF!")</f>
        <v>#REF!</v>
      </c>
      <c r="G265" s="49" t="s">
        <v>9</v>
      </c>
      <c r="K265" s="9"/>
      <c r="L265" s="2"/>
      <c r="M265" s="11"/>
      <c r="N265" s="11"/>
      <c r="O265" s="11"/>
      <c r="P265" s="11"/>
      <c r="Q265" s="1"/>
    </row>
    <row r="266" spans="1:17" ht="12.5" x14ac:dyDescent="0.25">
      <c r="A266" s="87" t="s">
        <v>247</v>
      </c>
      <c r="B266" s="69">
        <v>1</v>
      </c>
      <c r="C266" s="63">
        <f>1.51/1000</f>
        <v>1.5100000000000001E-3</v>
      </c>
      <c r="D266" s="63" t="str">
        <f ca="1">IFERROR(__xludf.DUMMYFUNCTION("C260*IMPORTRANGE(""https://docs.google.com/spreadsheets/d/1xsp01RMmkav9iTy39Zaj_7tE9677EGlOJ14KU9TZn7I/"",""2003-2017!H253"")"),"#REF!")</f>
        <v>#REF!</v>
      </c>
      <c r="E266" s="63" t="str">
        <f ca="1">IFERROR(__xludf.DUMMYFUNCTION("C260*IMPORTRANGE(""https://docs.google.com/spreadsheets/d/1xsp01RMmkav9iTy39Zaj_7tE9677EGlOJ14KU9TZn7I/"",""2003-2017!T253"")"),"#REF!")</f>
        <v>#REF!</v>
      </c>
      <c r="F266" s="63" t="str">
        <f ca="1">IFERROR(__xludf.DUMMYFUNCTION("C260*IMPORTRANGE(""https://docs.google.com/spreadsheets/d/1xsp01RMmkav9iTy39Zaj_7tE9677EGlOJ14KU9TZn7I/"",""2003-2017!AC253"")"),"#REF!")</f>
        <v>#REF!</v>
      </c>
      <c r="G266" s="66" t="s">
        <v>9</v>
      </c>
      <c r="K266" s="9"/>
      <c r="L266" s="2"/>
      <c r="M266" s="11"/>
      <c r="N266" s="11"/>
      <c r="O266" s="11"/>
      <c r="P266" s="11"/>
      <c r="Q266" s="1"/>
    </row>
    <row r="267" spans="1:17" ht="12.5" x14ac:dyDescent="0.25">
      <c r="A267" s="88" t="s">
        <v>248</v>
      </c>
      <c r="B267" s="53">
        <v>3</v>
      </c>
      <c r="C267" s="46">
        <f>101.8/1000</f>
        <v>0.1018</v>
      </c>
      <c r="D267" s="46" t="str">
        <f ca="1">IFERROR(__xludf.DUMMYFUNCTION("C261*IMPORTRANGE(""https://docs.google.com/spreadsheets/d/1xsp01RMmkav9iTy39Zaj_7tE9677EGlOJ14KU9TZn7I/"",""2003-2017!H276"")"),"#REF!")</f>
        <v>#REF!</v>
      </c>
      <c r="E267" s="46" t="str">
        <f ca="1">IFERROR(__xludf.DUMMYFUNCTION("C261*IMPORTRANGE(""https://docs.google.com/spreadsheets/d/1xsp01RMmkav9iTy39Zaj_7tE9677EGlOJ14KU9TZn7I/"",""2003-2017!T276"")"),"#REF!")</f>
        <v>#REF!</v>
      </c>
      <c r="F267" s="46" t="str">
        <f ca="1">IFERROR(__xludf.DUMMYFUNCTION("C261*IMPORTRANGE(""https://docs.google.com/spreadsheets/d/1xsp01RMmkav9iTy39Zaj_7tE9677EGlOJ14KU9TZn7I/"",""2003-2017!AC276"")"),"#REF!")</f>
        <v>#REF!</v>
      </c>
      <c r="G267" s="49" t="s">
        <v>9</v>
      </c>
      <c r="K267" s="9"/>
      <c r="L267" s="2"/>
      <c r="M267" s="11"/>
      <c r="N267" s="11"/>
      <c r="O267" s="11"/>
      <c r="P267" s="11"/>
      <c r="Q267" s="1"/>
    </row>
    <row r="268" spans="1:17" ht="12.5" x14ac:dyDescent="0.25">
      <c r="A268" s="87" t="s">
        <v>249</v>
      </c>
      <c r="B268" s="69">
        <v>2</v>
      </c>
      <c r="C268" s="63">
        <f>1/1000</f>
        <v>1E-3</v>
      </c>
      <c r="D268" s="63" t="str">
        <f ca="1">IFERROR(__xludf.DUMMYFUNCTION("C262*IMPORTRANGE(""https://docs.google.com/spreadsheets/d/1xsp01RMmkav9iTy39Zaj_7tE9677EGlOJ14KU9TZn7I/"",""2003-2017!H300"")"),"#REF!")</f>
        <v>#REF!</v>
      </c>
      <c r="E268" s="63" t="str">
        <f ca="1">IFERROR(__xludf.DUMMYFUNCTION("C262*IMPORTRANGE(""https://docs.google.com/spreadsheets/d/1xsp01RMmkav9iTy39Zaj_7tE9677EGlOJ14KU9TZn7I/"",""2003-2017!T300"")"),"#REF!")</f>
        <v>#REF!</v>
      </c>
      <c r="F268" s="63" t="str">
        <f ca="1">IFERROR(__xludf.DUMMYFUNCTION("C262*IMPORTRANGE(""https://docs.google.com/spreadsheets/d/1xsp01RMmkav9iTy39Zaj_7tE9677EGlOJ14KU9TZn7I/"",""2003-2017!AC300"")"),"#REF!")</f>
        <v>#REF!</v>
      </c>
      <c r="G268" s="66" t="s">
        <v>9</v>
      </c>
      <c r="K268" s="9"/>
      <c r="L268" s="2"/>
      <c r="M268" s="11"/>
      <c r="N268" s="11"/>
      <c r="O268" s="11"/>
      <c r="P268" s="11"/>
      <c r="Q268" s="1"/>
    </row>
    <row r="269" spans="1:17" ht="12.5" x14ac:dyDescent="0.25">
      <c r="A269" s="76">
        <v>2005</v>
      </c>
      <c r="B269" s="60"/>
      <c r="C269" s="75"/>
      <c r="D269" s="75"/>
      <c r="E269" s="75"/>
      <c r="F269" s="75"/>
      <c r="G269" s="77"/>
      <c r="K269" s="9"/>
      <c r="L269" s="2"/>
      <c r="M269" s="11"/>
      <c r="N269" s="11"/>
      <c r="O269" s="11"/>
      <c r="P269" s="11"/>
      <c r="Q269" s="1"/>
    </row>
    <row r="270" spans="1:17" ht="12.5" x14ac:dyDescent="0.25">
      <c r="A270" s="88" t="s">
        <v>250</v>
      </c>
      <c r="B270" s="53">
        <v>1</v>
      </c>
      <c r="C270" s="46">
        <v>0</v>
      </c>
      <c r="D270" s="46" t="str">
        <f ca="1">IFERROR(__xludf.DUMMYFUNCTION("C264*IMPORTRANGE(""https://docs.google.com/spreadsheets/d/1xsp01RMmkav9iTy39Zaj_7tE9677EGlOJ14KU9TZn7I/"",""2003-2017!H323"")"),"#REF!")</f>
        <v>#REF!</v>
      </c>
      <c r="E270" s="46" t="str">
        <f ca="1">IFERROR(__xludf.DUMMYFUNCTION("C264*IMPORTRANGE(""https://docs.google.com/spreadsheets/d/1xsp01RMmkav9iTy39Zaj_7tE9677EGlOJ14KU9TZn7I/"",""2003-2017!T323"")"),"#REF!")</f>
        <v>#REF!</v>
      </c>
      <c r="F270" s="46" t="str">
        <f ca="1">IFERROR(__xludf.DUMMYFUNCTION("C264*IMPORTRANGE(""https://docs.google.com/spreadsheets/d/1xsp01RMmkav9iTy39Zaj_7tE9677EGlOJ14KU9TZn7I/"",""2003-2017!AC323"")"),"#REF!")</f>
        <v>#REF!</v>
      </c>
      <c r="G270" s="49" t="s">
        <v>9</v>
      </c>
      <c r="K270" s="9"/>
      <c r="L270" s="2"/>
      <c r="M270" s="11"/>
      <c r="N270" s="11"/>
      <c r="O270" s="11"/>
      <c r="P270" s="11"/>
      <c r="Q270" s="1"/>
    </row>
    <row r="271" spans="1:17" ht="12.5" x14ac:dyDescent="0.25">
      <c r="A271" s="87" t="s">
        <v>251</v>
      </c>
      <c r="B271" s="69">
        <v>0</v>
      </c>
      <c r="C271" s="63">
        <v>0</v>
      </c>
      <c r="D271" s="63" t="str">
        <f ca="1">IFERROR(__xludf.DUMMYFUNCTION("C265*IMPORTRANGE(""https://docs.google.com/spreadsheets/d/1xsp01RMmkav9iTy39Zaj_7tE9677EGlOJ14KU9TZn7I/"",""2003-2017!H344"")"),"#REF!")</f>
        <v>#REF!</v>
      </c>
      <c r="E271" s="63" t="str">
        <f ca="1">IFERROR(__xludf.DUMMYFUNCTION("C265*IMPORTRANGE(""https://docs.google.com/spreadsheets/d/1xsp01RMmkav9iTy39Zaj_7tE9677EGlOJ14KU9TZn7I/"",""2003-2017!T344"")"),"#REF!")</f>
        <v>#REF!</v>
      </c>
      <c r="F271" s="63" t="str">
        <f ca="1">IFERROR(__xludf.DUMMYFUNCTION("C265*IMPORTRANGE(""https://docs.google.com/spreadsheets/d/1xsp01RMmkav9iTy39Zaj_7tE9677EGlOJ14KU9TZn7I/"",""2003-2017!AC344"")"),"#REF!")</f>
        <v>#REF!</v>
      </c>
      <c r="G271" s="66" t="s">
        <v>9</v>
      </c>
      <c r="K271" s="9"/>
      <c r="L271" s="2"/>
      <c r="M271" s="11"/>
      <c r="N271" s="11"/>
      <c r="O271" s="11"/>
      <c r="P271" s="11"/>
      <c r="Q271" s="1"/>
    </row>
    <row r="272" spans="1:17" ht="12.5" x14ac:dyDescent="0.25">
      <c r="A272" s="88" t="s">
        <v>252</v>
      </c>
      <c r="B272" s="53">
        <v>2</v>
      </c>
      <c r="C272" s="46">
        <f>79.1/1000</f>
        <v>7.909999999999999E-2</v>
      </c>
      <c r="D272" s="46" t="str">
        <f ca="1">IFERROR(__xludf.DUMMYFUNCTION("C266*IMPORTRANGE(""https://docs.google.com/spreadsheets/d/1xsp01RMmkav9iTy39Zaj_7tE9677EGlOJ14KU9TZn7I/"",""2003-2017!H368"")"),"#REF!")</f>
        <v>#REF!</v>
      </c>
      <c r="E272" s="46" t="str">
        <f ca="1">IFERROR(__xludf.DUMMYFUNCTION("C266*IMPORTRANGE(""https://docs.google.com/spreadsheets/d/1xsp01RMmkav9iTy39Zaj_7tE9677EGlOJ14KU9TZn7I/"",""2003-2017!T368"")"),"#REF!")</f>
        <v>#REF!</v>
      </c>
      <c r="F272" s="46" t="str">
        <f ca="1">IFERROR(__xludf.DUMMYFUNCTION("C266*IMPORTRANGE(""https://docs.google.com/spreadsheets/d/1xsp01RMmkav9iTy39Zaj_7tE9677EGlOJ14KU9TZn7I/"",""2003-2017!AC368"")"),"#REF!")</f>
        <v>#REF!</v>
      </c>
      <c r="G272" s="49" t="s">
        <v>9</v>
      </c>
      <c r="K272" s="9"/>
      <c r="L272" s="2"/>
      <c r="M272" s="11"/>
      <c r="N272" s="11"/>
      <c r="O272" s="11"/>
      <c r="P272" s="11"/>
      <c r="Q272" s="1"/>
    </row>
    <row r="273" spans="1:17" ht="12.5" x14ac:dyDescent="0.25">
      <c r="A273" s="87" t="s">
        <v>253</v>
      </c>
      <c r="B273" s="69">
        <v>4</v>
      </c>
      <c r="C273" s="63">
        <f>280.4/1000</f>
        <v>0.28039999999999998</v>
      </c>
      <c r="D273" s="63" t="str">
        <f ca="1">IFERROR(__xludf.DUMMYFUNCTION("C267*IMPORTRANGE(""https://docs.google.com/spreadsheets/d/1xsp01RMmkav9iTy39Zaj_7tE9677EGlOJ14KU9TZn7I/"",""2003-2017!H390"")"),"#REF!")</f>
        <v>#REF!</v>
      </c>
      <c r="E273" s="63" t="str">
        <f ca="1">IFERROR(__xludf.DUMMYFUNCTION("C267*IMPORTRANGE(""https://docs.google.com/spreadsheets/d/1xsp01RMmkav9iTy39Zaj_7tE9677EGlOJ14KU9TZn7I/"",""2003-2017!T390"")"),"#REF!")</f>
        <v>#REF!</v>
      </c>
      <c r="F273" s="63" t="str">
        <f ca="1">IFERROR(__xludf.DUMMYFUNCTION("C267*IMPORTRANGE(""https://docs.google.com/spreadsheets/d/1xsp01RMmkav9iTy39Zaj_7tE9677EGlOJ14KU9TZn7I/"",""2003-2017!AC390"")"),"#REF!")</f>
        <v>#REF!</v>
      </c>
      <c r="G273" s="66" t="s">
        <v>9</v>
      </c>
      <c r="K273" s="9"/>
      <c r="L273" s="2"/>
      <c r="M273" s="11"/>
      <c r="N273" s="11"/>
      <c r="O273" s="11"/>
      <c r="P273" s="11"/>
      <c r="Q273" s="1"/>
    </row>
    <row r="274" spans="1:17" ht="12.5" x14ac:dyDescent="0.25">
      <c r="A274" s="88" t="s">
        <v>254</v>
      </c>
      <c r="B274" s="53">
        <v>4</v>
      </c>
      <c r="C274" s="46">
        <f>964.8/1000</f>
        <v>0.96479999999999999</v>
      </c>
      <c r="D274" s="46" t="str">
        <f ca="1">IFERROR(__xludf.DUMMYFUNCTION("C268*IMPORTRANGE(""https://docs.google.com/spreadsheets/d/1xsp01RMmkav9iTy39Zaj_7tE9677EGlOJ14KU9TZn7I/"",""2003-2017!H413"")"),"#REF!")</f>
        <v>#REF!</v>
      </c>
      <c r="E274" s="46" t="str">
        <f ca="1">IFERROR(__xludf.DUMMYFUNCTION("C268*IMPORTRANGE(""https://docs.google.com/spreadsheets/d/1xsp01RMmkav9iTy39Zaj_7tE9677EGlOJ14KU9TZn7I/"",""2003-2017!T413"")"),"#REF!")</f>
        <v>#REF!</v>
      </c>
      <c r="F274" s="46" t="str">
        <f ca="1">IFERROR(__xludf.DUMMYFUNCTION("C268*IMPORTRANGE(""https://docs.google.com/spreadsheets/d/1xsp01RMmkav9iTy39Zaj_7tE9677EGlOJ14KU9TZn7I/"",""2003-2017!AC413"")"),"#REF!")</f>
        <v>#REF!</v>
      </c>
      <c r="G274" s="49" t="s">
        <v>9</v>
      </c>
      <c r="K274" s="9"/>
      <c r="L274" s="2"/>
      <c r="M274" s="11"/>
      <c r="N274" s="11"/>
      <c r="O274" s="11"/>
      <c r="P274" s="11"/>
      <c r="Q274" s="1"/>
    </row>
    <row r="275" spans="1:17" ht="12.5" x14ac:dyDescent="0.25">
      <c r="A275" s="87" t="s">
        <v>255</v>
      </c>
      <c r="B275" s="69">
        <v>3</v>
      </c>
      <c r="C275" s="63">
        <f>70.4/1000</f>
        <v>7.0400000000000004E-2</v>
      </c>
      <c r="D275" s="63" t="str">
        <f ca="1">IFERROR(__xludf.DUMMYFUNCTION("C269*IMPORTRANGE(""https://docs.google.com/spreadsheets/d/1xsp01RMmkav9iTy39Zaj_7tE9677EGlOJ14KU9TZn7I/"",""2003-2017!H436"")"),"#REF!")</f>
        <v>#REF!</v>
      </c>
      <c r="E275" s="63" t="str">
        <f ca="1">IFERROR(__xludf.DUMMYFUNCTION("C269*IMPORTRANGE(""https://docs.google.com/spreadsheets/d/1xsp01RMmkav9iTy39Zaj_7tE9677EGlOJ14KU9TZn7I/"",""2003-2017!T436"")"),"#REF!")</f>
        <v>#REF!</v>
      </c>
      <c r="F275" s="63" t="str">
        <f ca="1">IFERROR(__xludf.DUMMYFUNCTION("C269*IMPORTRANGE(""https://docs.google.com/spreadsheets/d/1xsp01RMmkav9iTy39Zaj_7tE9677EGlOJ14KU9TZn7I/"",""2003-2017!AC436"")"),"#REF!")</f>
        <v>#REF!</v>
      </c>
      <c r="G275" s="66" t="s">
        <v>9</v>
      </c>
      <c r="K275" s="9"/>
      <c r="L275" s="2"/>
      <c r="M275" s="11"/>
      <c r="N275" s="11"/>
      <c r="O275" s="11"/>
      <c r="P275" s="11"/>
      <c r="Q275" s="1"/>
    </row>
    <row r="276" spans="1:17" ht="12.5" x14ac:dyDescent="0.25">
      <c r="A276" s="88" t="s">
        <v>256</v>
      </c>
      <c r="B276" s="53">
        <v>0</v>
      </c>
      <c r="C276" s="46">
        <v>0</v>
      </c>
      <c r="D276" s="46" t="str">
        <f ca="1">IFERROR(__xludf.DUMMYFUNCTION("C270*IMPORTRANGE(""https://docs.google.com/spreadsheets/d/1xsp01RMmkav9iTy39Zaj_7tE9677EGlOJ14KU9TZn7I/"",""2003-2017!H458"")"),"#REF!")</f>
        <v>#REF!</v>
      </c>
      <c r="E276" s="46" t="str">
        <f ca="1">IFERROR(__xludf.DUMMYFUNCTION("C270*IMPORTRANGE(""https://docs.google.com/spreadsheets/d/1xsp01RMmkav9iTy39Zaj_7tE9677EGlOJ14KU9TZn7I/"",""2003-2017!T458"")"),"#REF!")</f>
        <v>#REF!</v>
      </c>
      <c r="F276" s="46" t="str">
        <f ca="1">IFERROR(__xludf.DUMMYFUNCTION("C270*IMPORTRANGE(""https://docs.google.com/spreadsheets/d/1xsp01RMmkav9iTy39Zaj_7tE9677EGlOJ14KU9TZn7I/"",""2003-2017!AC458"")"),"#REF!")</f>
        <v>#REF!</v>
      </c>
      <c r="G276" s="49" t="s">
        <v>9</v>
      </c>
      <c r="K276" s="9"/>
      <c r="L276" s="2"/>
      <c r="M276" s="11"/>
      <c r="N276" s="11"/>
      <c r="O276" s="11"/>
      <c r="P276" s="11"/>
      <c r="Q276" s="1"/>
    </row>
    <row r="277" spans="1:17" ht="12.5" x14ac:dyDescent="0.25">
      <c r="A277" s="87" t="s">
        <v>257</v>
      </c>
      <c r="B277" s="69">
        <v>2</v>
      </c>
      <c r="C277" s="63">
        <f>7/1000</f>
        <v>7.0000000000000001E-3</v>
      </c>
      <c r="D277" s="63" t="str">
        <f ca="1">IFERROR(__xludf.DUMMYFUNCTION("C271*IMPORTRANGE(""https://docs.google.com/spreadsheets/d/1xsp01RMmkav9iTy39Zaj_7tE9677EGlOJ14KU9TZn7I/"",""2003-2017!H482"")"),"#REF!")</f>
        <v>#REF!</v>
      </c>
      <c r="E277" s="63" t="str">
        <f ca="1">IFERROR(__xludf.DUMMYFUNCTION("C271*IMPORTRANGE(""https://docs.google.com/spreadsheets/d/1xsp01RMmkav9iTy39Zaj_7tE9677EGlOJ14KU9TZn7I/"",""2003-2017!T482"")"),"#REF!")</f>
        <v>#REF!</v>
      </c>
      <c r="F277" s="63" t="str">
        <f ca="1">IFERROR(__xludf.DUMMYFUNCTION("C271*IMPORTRANGE(""https://docs.google.com/spreadsheets/d/1xsp01RMmkav9iTy39Zaj_7tE9677EGlOJ14KU9TZn7I/"",""2003-2017!AC482"")"),"#REF!")</f>
        <v>#REF!</v>
      </c>
      <c r="G277" s="66" t="s">
        <v>9</v>
      </c>
      <c r="K277" s="9"/>
      <c r="L277" s="2"/>
      <c r="M277" s="11"/>
      <c r="N277" s="11"/>
      <c r="O277" s="11"/>
      <c r="P277" s="11"/>
      <c r="Q277" s="1"/>
    </row>
    <row r="278" spans="1:17" ht="12.5" x14ac:dyDescent="0.25">
      <c r="A278" s="88" t="s">
        <v>258</v>
      </c>
      <c r="B278" s="53">
        <v>4</v>
      </c>
      <c r="C278" s="46">
        <f>47.8/1000</f>
        <v>4.7799999999999995E-2</v>
      </c>
      <c r="D278" s="46" t="str">
        <f ca="1">IFERROR(__xludf.DUMMYFUNCTION("C272*IMPORTRANGE(""https://docs.google.com/spreadsheets/d/1xsp01RMmkav9iTy39Zaj_7tE9677EGlOJ14KU9TZn7I/"",""2003-2017!H505"")"),"#REF!")</f>
        <v>#REF!</v>
      </c>
      <c r="E278" s="46" t="str">
        <f ca="1">IFERROR(__xludf.DUMMYFUNCTION("C272*IMPORTRANGE(""https://docs.google.com/spreadsheets/d/1xsp01RMmkav9iTy39Zaj_7tE9677EGlOJ14KU9TZn7I/"",""2003-2017!T505"")"),"#REF!")</f>
        <v>#REF!</v>
      </c>
      <c r="F278" s="46" t="str">
        <f ca="1">IFERROR(__xludf.DUMMYFUNCTION("C272*IMPORTRANGE(""https://docs.google.com/spreadsheets/d/1xsp01RMmkav9iTy39Zaj_7tE9677EGlOJ14KU9TZn7I/"",""2003-2017!AC505"")"),"#REF!")</f>
        <v>#REF!</v>
      </c>
      <c r="G278" s="49" t="s">
        <v>9</v>
      </c>
      <c r="K278" s="9"/>
      <c r="L278" s="2"/>
      <c r="M278" s="11"/>
      <c r="N278" s="11"/>
      <c r="O278" s="11"/>
      <c r="P278" s="11"/>
      <c r="Q278" s="1"/>
    </row>
    <row r="279" spans="1:17" ht="12.5" x14ac:dyDescent="0.25">
      <c r="A279" s="87" t="s">
        <v>259</v>
      </c>
      <c r="B279" s="69">
        <v>0</v>
      </c>
      <c r="C279" s="63">
        <v>0</v>
      </c>
      <c r="D279" s="63" t="str">
        <f ca="1">IFERROR(__xludf.DUMMYFUNCTION("C273*IMPORTRANGE(""https://docs.google.com/spreadsheets/d/1xsp01RMmkav9iTy39Zaj_7tE9677EGlOJ14KU9TZn7I/"",""2003-2017!H527"")"),"#REF!")</f>
        <v>#REF!</v>
      </c>
      <c r="E279" s="63" t="str">
        <f ca="1">IFERROR(__xludf.DUMMYFUNCTION("C273*IMPORTRANGE(""https://docs.google.com/spreadsheets/d/1xsp01RMmkav9iTy39Zaj_7tE9677EGlOJ14KU9TZn7I/"",""2003-2017!T527"")"),"#REF!")</f>
        <v>#REF!</v>
      </c>
      <c r="F279" s="63" t="str">
        <f ca="1">IFERROR(__xludf.DUMMYFUNCTION("C273*IMPORTRANGE(""https://docs.google.com/spreadsheets/d/1xsp01RMmkav9iTy39Zaj_7tE9677EGlOJ14KU9TZn7I/"",""2003-2017!AC527"")"),"#REF!")</f>
        <v>#REF!</v>
      </c>
      <c r="G279" s="66" t="s">
        <v>9</v>
      </c>
      <c r="K279" s="9"/>
      <c r="L279" s="2"/>
      <c r="M279" s="11"/>
      <c r="N279" s="11"/>
      <c r="O279" s="11"/>
      <c r="P279" s="11"/>
      <c r="Q279" s="1"/>
    </row>
    <row r="280" spans="1:17" ht="12.5" x14ac:dyDescent="0.25">
      <c r="A280" s="88" t="s">
        <v>260</v>
      </c>
      <c r="B280" s="53">
        <v>6</v>
      </c>
      <c r="C280" s="46">
        <f>29.9/1000</f>
        <v>2.9899999999999999E-2</v>
      </c>
      <c r="D280" s="46" t="str">
        <f ca="1">IFERROR(__xludf.DUMMYFUNCTION("C274*IMPORTRANGE(""https://docs.google.com/spreadsheets/d/1xsp01RMmkav9iTy39Zaj_7tE9677EGlOJ14KU9TZn7I/"",""2003-2017!H550"")"),"#REF!")</f>
        <v>#REF!</v>
      </c>
      <c r="E280" s="46" t="str">
        <f ca="1">IFERROR(__xludf.DUMMYFUNCTION("C274*IMPORTRANGE(""https://docs.google.com/spreadsheets/d/1xsp01RMmkav9iTy39Zaj_7tE9677EGlOJ14KU9TZn7I/"",""2003-2017!T550"")"),"#REF!")</f>
        <v>#REF!</v>
      </c>
      <c r="F280" s="46" t="str">
        <f ca="1">IFERROR(__xludf.DUMMYFUNCTION("C274*IMPORTRANGE(""https://docs.google.com/spreadsheets/d/1xsp01RMmkav9iTy39Zaj_7tE9677EGlOJ14KU9TZn7I/"",""2003-2017!AC550"")"),"#REF!")</f>
        <v>#REF!</v>
      </c>
      <c r="G280" s="49" t="s">
        <v>9</v>
      </c>
      <c r="K280" s="9"/>
      <c r="L280" s="2"/>
      <c r="M280" s="11"/>
      <c r="N280" s="11"/>
      <c r="O280" s="11"/>
      <c r="P280" s="11"/>
      <c r="Q280" s="1"/>
    </row>
    <row r="281" spans="1:17" ht="12.5" x14ac:dyDescent="0.25">
      <c r="A281" s="87" t="s">
        <v>261</v>
      </c>
      <c r="B281" s="69">
        <v>2</v>
      </c>
      <c r="C281" s="63">
        <f>53/1000</f>
        <v>5.2999999999999999E-2</v>
      </c>
      <c r="D281" s="63" t="str">
        <f ca="1">IFERROR(__xludf.DUMMYFUNCTION("C275*IMPORTRANGE(""https://docs.google.com/spreadsheets/d/1xsp01RMmkav9iTy39Zaj_7tE9677EGlOJ14KU9TZn7I/"",""2003-2017!H573"")"),"#REF!")</f>
        <v>#REF!</v>
      </c>
      <c r="E281" s="63" t="str">
        <f ca="1">IFERROR(__xludf.DUMMYFUNCTION("C275*IMPORTRANGE(""https://docs.google.com/spreadsheets/d/1xsp01RMmkav9iTy39Zaj_7tE9677EGlOJ14KU9TZn7I/"",""2003-2017!T573"")"),"#REF!")</f>
        <v>#REF!</v>
      </c>
      <c r="F281" s="63" t="str">
        <f ca="1">IFERROR(__xludf.DUMMYFUNCTION("C275*IMPORTRANGE(""https://docs.google.com/spreadsheets/d/1xsp01RMmkav9iTy39Zaj_7tE9677EGlOJ14KU9TZn7I/"",""2003-2017!AC573"")"),"#REF!")</f>
        <v>#REF!</v>
      </c>
      <c r="G281" s="66" t="s">
        <v>9</v>
      </c>
      <c r="K281" s="9"/>
      <c r="L281" s="2"/>
      <c r="M281" s="11"/>
      <c r="N281" s="11"/>
      <c r="O281" s="11"/>
      <c r="P281" s="11"/>
      <c r="Q281" s="1"/>
    </row>
    <row r="282" spans="1:17" ht="12.5" x14ac:dyDescent="0.25">
      <c r="A282" s="76">
        <v>2006</v>
      </c>
      <c r="B282" s="60"/>
      <c r="C282" s="75"/>
      <c r="D282" s="75"/>
      <c r="E282" s="75"/>
      <c r="F282" s="75"/>
      <c r="G282" s="77"/>
      <c r="K282" s="9"/>
      <c r="L282" s="2"/>
      <c r="M282" s="11"/>
      <c r="N282" s="11"/>
      <c r="O282" s="11"/>
      <c r="P282" s="11"/>
      <c r="Q282" s="1"/>
    </row>
    <row r="283" spans="1:17" ht="12.5" x14ac:dyDescent="0.25">
      <c r="A283" s="88" t="s">
        <v>262</v>
      </c>
      <c r="B283" s="53">
        <v>0</v>
      </c>
      <c r="C283" s="46">
        <v>0</v>
      </c>
      <c r="D283" s="46" t="str">
        <f ca="1">IFERROR(__xludf.DUMMYFUNCTION("C277*IMPORTRANGE(""https://docs.google.com/spreadsheets/d/1xsp01RMmkav9iTy39Zaj_7tE9677EGlOJ14KU9TZn7I/"",""2003-2017!H597"")"),"#REF!")</f>
        <v>#REF!</v>
      </c>
      <c r="E283" s="46" t="str">
        <f ca="1">IFERROR(__xludf.DUMMYFUNCTION("C277*IMPORTRANGE(""https://docs.google.com/spreadsheets/d/1xsp01RMmkav9iTy39Zaj_7tE9677EGlOJ14KU9TZn7I/"",""2003-2017!T597"")"),"#REF!")</f>
        <v>#REF!</v>
      </c>
      <c r="F283" s="46" t="str">
        <f ca="1">IFERROR(__xludf.DUMMYFUNCTION("C277*IMPORTRANGE(""https://docs.google.com/spreadsheets/d/1xsp01RMmkav9iTy39Zaj_7tE9677EGlOJ14KU9TZn7I/"",""2003-2017!AC597"")"),"#REF!")</f>
        <v>#REF!</v>
      </c>
      <c r="G283" s="49" t="s">
        <v>9</v>
      </c>
      <c r="K283" s="9"/>
      <c r="L283" s="2"/>
      <c r="M283" s="11"/>
      <c r="N283" s="11"/>
      <c r="O283" s="11"/>
      <c r="P283" s="11"/>
      <c r="Q283" s="1"/>
    </row>
    <row r="284" spans="1:17" ht="12.5" x14ac:dyDescent="0.25">
      <c r="A284" s="87" t="s">
        <v>263</v>
      </c>
      <c r="B284" s="69">
        <v>4</v>
      </c>
      <c r="C284" s="63">
        <f>416.2/1000</f>
        <v>0.41620000000000001</v>
      </c>
      <c r="D284" s="63" t="str">
        <f ca="1">IFERROR(__xludf.DUMMYFUNCTION("C278*IMPORTRANGE(""https://docs.google.com/spreadsheets/d/1xsp01RMmkav9iTy39Zaj_7tE9677EGlOJ14KU9TZn7I/"",""2003-2017!H618"")"),"#REF!")</f>
        <v>#REF!</v>
      </c>
      <c r="E284" s="63" t="str">
        <f ca="1">IFERROR(__xludf.DUMMYFUNCTION("C278*IMPORTRANGE(""https://docs.google.com/spreadsheets/d/1xsp01RMmkav9iTy39Zaj_7tE9677EGlOJ14KU9TZn7I/"",""2003-2017!T618"")"),"#REF!")</f>
        <v>#REF!</v>
      </c>
      <c r="F284" s="63" t="str">
        <f ca="1">IFERROR(__xludf.DUMMYFUNCTION("C278*IMPORTRANGE(""https://docs.google.com/spreadsheets/d/1xsp01RMmkav9iTy39Zaj_7tE9677EGlOJ14KU9TZn7I/"",""2003-2017!AC618"")"),"#REF!")</f>
        <v>#REF!</v>
      </c>
      <c r="G284" s="66" t="s">
        <v>9</v>
      </c>
      <c r="K284" s="9"/>
      <c r="L284" s="2"/>
      <c r="M284" s="11"/>
      <c r="N284" s="11"/>
      <c r="O284" s="11"/>
      <c r="P284" s="11"/>
      <c r="Q284" s="1"/>
    </row>
    <row r="285" spans="1:17" ht="12.5" x14ac:dyDescent="0.25">
      <c r="A285" s="88" t="s">
        <v>264</v>
      </c>
      <c r="B285" s="53">
        <v>3</v>
      </c>
      <c r="C285" s="46">
        <v>0</v>
      </c>
      <c r="D285" s="46" t="str">
        <f ca="1">IFERROR(__xludf.DUMMYFUNCTION("C279*IMPORTRANGE(""https://docs.google.com/spreadsheets/d/1xsp01RMmkav9iTy39Zaj_7tE9677EGlOJ14KU9TZn7I/"",""2003-2017!H642"")"),"#REF!")</f>
        <v>#REF!</v>
      </c>
      <c r="E285" s="46" t="str">
        <f ca="1">IFERROR(__xludf.DUMMYFUNCTION("C279*IMPORTRANGE(""https://docs.google.com/spreadsheets/d/1xsp01RMmkav9iTy39Zaj_7tE9677EGlOJ14KU9TZn7I/"",""2003-2017!T642"")"),"#REF!")</f>
        <v>#REF!</v>
      </c>
      <c r="F285" s="46" t="str">
        <f ca="1">IFERROR(__xludf.DUMMYFUNCTION("C279*IMPORTRANGE(""https://docs.google.com/spreadsheets/d/1xsp01RMmkav9iTy39Zaj_7tE9677EGlOJ14KU9TZn7I/"",""2003-2017!AC642"")"),"#REF!")</f>
        <v>#REF!</v>
      </c>
      <c r="G285" s="49" t="s">
        <v>9</v>
      </c>
      <c r="K285" s="9"/>
      <c r="L285" s="2"/>
      <c r="M285" s="11"/>
      <c r="N285" s="11"/>
      <c r="O285" s="11"/>
      <c r="P285" s="11"/>
      <c r="Q285" s="1"/>
    </row>
    <row r="286" spans="1:17" ht="12.5" x14ac:dyDescent="0.25">
      <c r="A286" s="87" t="s">
        <v>265</v>
      </c>
      <c r="B286" s="69">
        <v>2</v>
      </c>
      <c r="C286" s="63">
        <v>0</v>
      </c>
      <c r="D286" s="63" t="str">
        <f ca="1">IFERROR(__xludf.DUMMYFUNCTION("C280*IMPORTRANGE(""https://docs.google.com/spreadsheets/d/1xsp01RMmkav9iTy39Zaj_7tE9677EGlOJ14KU9TZn7I/"",""2003-2017!H663"")"),"#REF!")</f>
        <v>#REF!</v>
      </c>
      <c r="E286" s="63" t="str">
        <f ca="1">IFERROR(__xludf.DUMMYFUNCTION("C280*IMPORTRANGE(""https://docs.google.com/spreadsheets/d/1xsp01RMmkav9iTy39Zaj_7tE9677EGlOJ14KU9TZn7I/"",""2003-2017!T663"")"),"#REF!")</f>
        <v>#REF!</v>
      </c>
      <c r="F286" s="63" t="str">
        <f ca="1">IFERROR(__xludf.DUMMYFUNCTION("C280*IMPORTRANGE(""https://docs.google.com/spreadsheets/d/1xsp01RMmkav9iTy39Zaj_7tE9677EGlOJ14KU9TZn7I/"",""2003-2017!AC663"")"),"#REF!")</f>
        <v>#REF!</v>
      </c>
      <c r="G286" s="66" t="s">
        <v>9</v>
      </c>
      <c r="K286" s="9"/>
      <c r="L286" s="2"/>
      <c r="M286" s="11"/>
      <c r="N286" s="11"/>
      <c r="O286" s="11"/>
      <c r="P286" s="11"/>
      <c r="Q286" s="1"/>
    </row>
    <row r="287" spans="1:17" ht="12.5" x14ac:dyDescent="0.25">
      <c r="A287" s="88" t="s">
        <v>266</v>
      </c>
      <c r="B287" s="53">
        <v>4</v>
      </c>
      <c r="C287" s="46">
        <f>2.53/1000</f>
        <v>2.5299999999999997E-3</v>
      </c>
      <c r="D287" s="46" t="str">
        <f ca="1">IFERROR(__xludf.DUMMYFUNCTION("C281*IMPORTRANGE(""https://docs.google.com/spreadsheets/d/1xsp01RMmkav9iTy39Zaj_7tE9677EGlOJ14KU9TZn7I/"",""2003-2017!H687"")"),"#REF!")</f>
        <v>#REF!</v>
      </c>
      <c r="E287" s="46" t="str">
        <f ca="1">IFERROR(__xludf.DUMMYFUNCTION("C281*IMPORTRANGE(""https://docs.google.com/spreadsheets/d/1xsp01RMmkav9iTy39Zaj_7tE9677EGlOJ14KU9TZn7I/"",""2003-2017!T687"")"),"#REF!")</f>
        <v>#REF!</v>
      </c>
      <c r="F287" s="46" t="str">
        <f ca="1">IFERROR(__xludf.DUMMYFUNCTION("C281*IMPORTRANGE(""https://docs.google.com/spreadsheets/d/1xsp01RMmkav9iTy39Zaj_7tE9677EGlOJ14KU9TZn7I/"",""2003-2017!AC687"")"),"#REF!")</f>
        <v>#REF!</v>
      </c>
      <c r="G287" s="49" t="s">
        <v>9</v>
      </c>
      <c r="K287" s="9"/>
      <c r="L287" s="2"/>
      <c r="M287" s="11"/>
      <c r="N287" s="11"/>
      <c r="O287" s="11"/>
      <c r="P287" s="11"/>
      <c r="Q287" s="1"/>
    </row>
    <row r="288" spans="1:17" ht="12.5" x14ac:dyDescent="0.25">
      <c r="A288" s="87" t="s">
        <v>267</v>
      </c>
      <c r="B288" s="69">
        <v>3</v>
      </c>
      <c r="C288" s="63">
        <f>5.18/1000</f>
        <v>5.1799999999999997E-3</v>
      </c>
      <c r="D288" s="63" t="str">
        <f ca="1">IFERROR(__xludf.DUMMYFUNCTION("C282*IMPORTRANGE(""https://docs.google.com/spreadsheets/d/1xsp01RMmkav9iTy39Zaj_7tE9677EGlOJ14KU9TZn7I/"",""2003-2017!H710"")"),"#REF!")</f>
        <v>#REF!</v>
      </c>
      <c r="E288" s="63" t="str">
        <f ca="1">IFERROR(__xludf.DUMMYFUNCTION("C282*IMPORTRANGE(""https://docs.google.com/spreadsheets/d/1xsp01RMmkav9iTy39Zaj_7tE9677EGlOJ14KU9TZn7I/"",""2003-2017!T710"")"),"#REF!")</f>
        <v>#REF!</v>
      </c>
      <c r="F288" s="63" t="str">
        <f ca="1">IFERROR(__xludf.DUMMYFUNCTION("C282*IMPORTRANGE(""https://docs.google.com/spreadsheets/d/1xsp01RMmkav9iTy39Zaj_7tE9677EGlOJ14KU9TZn7I/"",""2003-2017!AC710"")"),"#REF!")</f>
        <v>#REF!</v>
      </c>
      <c r="G288" s="66" t="s">
        <v>9</v>
      </c>
      <c r="K288" s="9"/>
      <c r="L288" s="2"/>
      <c r="M288" s="11"/>
      <c r="N288" s="11"/>
      <c r="O288" s="11"/>
      <c r="P288" s="11"/>
      <c r="Q288" s="1"/>
    </row>
    <row r="289" spans="1:17" ht="12.5" x14ac:dyDescent="0.25">
      <c r="A289" s="88" t="s">
        <v>268</v>
      </c>
      <c r="B289" s="53">
        <v>1</v>
      </c>
      <c r="C289" s="46">
        <v>0</v>
      </c>
      <c r="D289" s="46" t="str">
        <f ca="1">IFERROR(__xludf.DUMMYFUNCTION("C283*IMPORTRANGE(""https://docs.google.com/spreadsheets/d/1xsp01RMmkav9iTy39Zaj_7tE9677EGlOJ14KU9TZn7I/"",""2003-2017!H732"")"),"#REF!")</f>
        <v>#REF!</v>
      </c>
      <c r="E289" s="46" t="str">
        <f ca="1">IFERROR(__xludf.DUMMYFUNCTION("C283*IMPORTRANGE(""https://docs.google.com/spreadsheets/d/1xsp01RMmkav9iTy39Zaj_7tE9677EGlOJ14KU9TZn7I/"",""2003-2017!T732"")"),"#REF!")</f>
        <v>#REF!</v>
      </c>
      <c r="F289" s="46" t="str">
        <f ca="1">IFERROR(__xludf.DUMMYFUNCTION("C283*IMPORTRANGE(""https://docs.google.com/spreadsheets/d/1xsp01RMmkav9iTy39Zaj_7tE9677EGlOJ14KU9TZn7I/"",""2003-2017!AC732"")"),"#REF!")</f>
        <v>#REF!</v>
      </c>
      <c r="G289" s="49" t="s">
        <v>9</v>
      </c>
      <c r="K289" s="9"/>
      <c r="L289" s="2"/>
      <c r="M289" s="11"/>
      <c r="N289" s="11"/>
      <c r="O289" s="11"/>
      <c r="P289" s="11"/>
      <c r="Q289" s="1"/>
    </row>
    <row r="290" spans="1:17" ht="12.5" x14ac:dyDescent="0.25">
      <c r="A290" s="87" t="s">
        <v>269</v>
      </c>
      <c r="B290" s="69">
        <v>3</v>
      </c>
      <c r="C290" s="63">
        <f>1.83/1000</f>
        <v>1.83E-3</v>
      </c>
      <c r="D290" s="63" t="str">
        <f ca="1">IFERROR(__xludf.DUMMYFUNCTION("C284*IMPORTRANGE(""https://docs.google.com/spreadsheets/d/1xsp01RMmkav9iTy39Zaj_7tE9677EGlOJ14KU9TZn7I/"",""2003-2017!H756"")"),"#REF!")</f>
        <v>#REF!</v>
      </c>
      <c r="E290" s="63" t="str">
        <f ca="1">IFERROR(__xludf.DUMMYFUNCTION("C284*IMPORTRANGE(""https://docs.google.com/spreadsheets/d/1xsp01RMmkav9iTy39Zaj_7tE9677EGlOJ14KU9TZn7I/"",""2003-2017!T756"")"),"#REF!")</f>
        <v>#REF!</v>
      </c>
      <c r="F290" s="63" t="str">
        <f ca="1">IFERROR(__xludf.DUMMYFUNCTION("C284*IMPORTRANGE(""https://docs.google.com/spreadsheets/d/1xsp01RMmkav9iTy39Zaj_7tE9677EGlOJ14KU9TZn7I/"",""2003-2017!AC756"")"),"#REF!")</f>
        <v>#REF!</v>
      </c>
      <c r="G290" s="66" t="s">
        <v>9</v>
      </c>
      <c r="K290" s="9"/>
      <c r="L290" s="2"/>
      <c r="M290" s="11"/>
      <c r="N290" s="11"/>
      <c r="O290" s="11"/>
      <c r="P290" s="11"/>
      <c r="Q290" s="1"/>
    </row>
    <row r="291" spans="1:17" ht="12.5" x14ac:dyDescent="0.25">
      <c r="A291" s="88" t="s">
        <v>270</v>
      </c>
      <c r="B291" s="53">
        <v>2</v>
      </c>
      <c r="C291" s="46">
        <f>4.23/1000</f>
        <v>4.2300000000000003E-3</v>
      </c>
      <c r="D291" s="46" t="str">
        <f ca="1">IFERROR(__xludf.DUMMYFUNCTION("C285*IMPORTRANGE(""https://docs.google.com/spreadsheets/d/1xsp01RMmkav9iTy39Zaj_7tE9677EGlOJ14KU9TZn7I/"",""2003-2017!H778"")"),"#REF!")</f>
        <v>#REF!</v>
      </c>
      <c r="E291" s="46" t="str">
        <f ca="1">IFERROR(__xludf.DUMMYFUNCTION("C285*IMPORTRANGE(""https://docs.google.com/spreadsheets/d/1xsp01RMmkav9iTy39Zaj_7tE9677EGlOJ14KU9TZn7I/"",""2003-2017!T778"")"),"#REF!")</f>
        <v>#REF!</v>
      </c>
      <c r="F291" s="46" t="str">
        <f ca="1">IFERROR(__xludf.DUMMYFUNCTION("C285*IMPORTRANGE(""https://docs.google.com/spreadsheets/d/1xsp01RMmkav9iTy39Zaj_7tE9677EGlOJ14KU9TZn7I/"",""2003-2017!AC778"")"),"#REF!")</f>
        <v>#REF!</v>
      </c>
      <c r="G291" s="49" t="s">
        <v>9</v>
      </c>
      <c r="K291" s="9"/>
      <c r="L291" s="2"/>
      <c r="M291" s="11"/>
      <c r="N291" s="11"/>
      <c r="O291" s="11"/>
      <c r="P291" s="11"/>
      <c r="Q291" s="1"/>
    </row>
    <row r="292" spans="1:17" ht="12.5" x14ac:dyDescent="0.25">
      <c r="A292" s="87" t="s">
        <v>271</v>
      </c>
      <c r="B292" s="70">
        <v>4</v>
      </c>
      <c r="C292" s="63">
        <f>50.6/1000</f>
        <v>5.0599999999999999E-2</v>
      </c>
      <c r="D292" s="63" t="str">
        <f ca="1">IFERROR(__xludf.DUMMYFUNCTION("C286*IMPORTRANGE(""https://docs.google.com/spreadsheets/d/1xsp01RMmkav9iTy39Zaj_7tE9677EGlOJ14KU9TZn7I/"",""2003-2017!H801"")"),"#REF!")</f>
        <v>#REF!</v>
      </c>
      <c r="E292" s="63" t="str">
        <f ca="1">IFERROR(__xludf.DUMMYFUNCTION("C286*IMPORTRANGE(""https://docs.google.com/spreadsheets/d/1xsp01RMmkav9iTy39Zaj_7tE9677EGlOJ14KU9TZn7I/"",""2003-2017!T801"")"),"#REF!")</f>
        <v>#REF!</v>
      </c>
      <c r="F292" s="63" t="str">
        <f ca="1">IFERROR(__xludf.DUMMYFUNCTION("C286*IMPORTRANGE(""https://docs.google.com/spreadsheets/d/1xsp01RMmkav9iTy39Zaj_7tE9677EGlOJ14KU9TZn7I/"",""2003-2017!AC801"")"),"#REF!")</f>
        <v>#REF!</v>
      </c>
      <c r="G292" s="66" t="s">
        <v>9</v>
      </c>
      <c r="K292" s="9"/>
      <c r="L292" s="2"/>
      <c r="M292" s="11"/>
      <c r="N292" s="11"/>
      <c r="O292" s="11"/>
      <c r="P292" s="11"/>
      <c r="Q292" s="1"/>
    </row>
    <row r="293" spans="1:17" ht="12.5" x14ac:dyDescent="0.25">
      <c r="A293" s="88" t="s">
        <v>272</v>
      </c>
      <c r="B293" s="53">
        <v>3</v>
      </c>
      <c r="C293" s="46">
        <f>363.9/1000</f>
        <v>0.3639</v>
      </c>
      <c r="D293" s="46" t="str">
        <f ca="1">IFERROR(__xludf.DUMMYFUNCTION("C287*IMPORTRANGE(""https://docs.google.com/spreadsheets/d/1xsp01RMmkav9iTy39Zaj_7tE9677EGlOJ14KU9TZn7I/"",""2003-2017!H824"")"),"#REF!")</f>
        <v>#REF!</v>
      </c>
      <c r="E293" s="46" t="str">
        <f ca="1">IFERROR(__xludf.DUMMYFUNCTION("C287*IMPORTRANGE(""https://docs.google.com/spreadsheets/d/1xsp01RMmkav9iTy39Zaj_7tE9677EGlOJ14KU9TZn7I/"",""2003-2017!T824"")"),"#REF!")</f>
        <v>#REF!</v>
      </c>
      <c r="F293" s="46" t="str">
        <f ca="1">IFERROR(__xludf.DUMMYFUNCTION("C287*IMPORTRANGE(""https://docs.google.com/spreadsheets/d/1xsp01RMmkav9iTy39Zaj_7tE9677EGlOJ14KU9TZn7I/"",""2003-2017!AC824"")"),"#REF!")</f>
        <v>#REF!</v>
      </c>
      <c r="G293" s="49" t="s">
        <v>9</v>
      </c>
      <c r="K293" s="9"/>
      <c r="L293" s="2"/>
      <c r="M293" s="11"/>
      <c r="N293" s="11"/>
      <c r="O293" s="11"/>
      <c r="P293" s="11"/>
      <c r="Q293" s="1"/>
    </row>
    <row r="294" spans="1:17" ht="12.5" x14ac:dyDescent="0.25">
      <c r="A294" s="87" t="s">
        <v>273</v>
      </c>
      <c r="B294" s="69">
        <v>7</v>
      </c>
      <c r="C294" s="63">
        <f>24.8/1000</f>
        <v>2.4799999999999999E-2</v>
      </c>
      <c r="D294" s="63" t="str">
        <f ca="1">IFERROR(__xludf.DUMMYFUNCTION("C288*IMPORTRANGE(""https://docs.google.com/spreadsheets/d/1xsp01RMmkav9iTy39Zaj_7tE9677EGlOJ14KU9TZn7I/"",""2003-2017!H846"")"),"#REF!")</f>
        <v>#REF!</v>
      </c>
      <c r="E294" s="63" t="str">
        <f ca="1">IFERROR(__xludf.DUMMYFUNCTION("C288*IMPORTRANGE(""https://docs.google.com/spreadsheets/d/1xsp01RMmkav9iTy39Zaj_7tE9677EGlOJ14KU9TZn7I/"",""2003-2017!T846"")"),"#REF!")</f>
        <v>#REF!</v>
      </c>
      <c r="F294" s="63" t="str">
        <f ca="1">IFERROR(__xludf.DUMMYFUNCTION("C288*IMPORTRANGE(""https://docs.google.com/spreadsheets/d/1xsp01RMmkav9iTy39Zaj_7tE9677EGlOJ14KU9TZn7I/"",""2003-2017!AC846"")"),"#REF!")</f>
        <v>#REF!</v>
      </c>
      <c r="G294" s="66" t="s">
        <v>9</v>
      </c>
      <c r="K294" s="9"/>
      <c r="L294" s="2"/>
      <c r="M294" s="11"/>
      <c r="N294" s="11"/>
      <c r="O294" s="11"/>
      <c r="P294" s="11"/>
      <c r="Q294" s="1"/>
    </row>
    <row r="295" spans="1:17" ht="12.5" x14ac:dyDescent="0.25">
      <c r="A295" s="76">
        <v>2007</v>
      </c>
      <c r="B295" s="60"/>
      <c r="C295" s="75"/>
      <c r="D295" s="75"/>
      <c r="E295" s="75"/>
      <c r="F295" s="75"/>
      <c r="G295" s="77"/>
      <c r="K295" s="9"/>
      <c r="L295" s="2"/>
      <c r="M295" s="11"/>
      <c r="N295" s="11"/>
      <c r="O295" s="11"/>
      <c r="P295" s="11"/>
      <c r="Q295" s="1"/>
    </row>
    <row r="296" spans="1:17" ht="12.5" x14ac:dyDescent="0.25">
      <c r="A296" s="88" t="s">
        <v>274</v>
      </c>
      <c r="B296" s="53">
        <v>4</v>
      </c>
      <c r="C296" s="46">
        <f>21.9/1000</f>
        <v>2.1899999999999999E-2</v>
      </c>
      <c r="D296" s="46" t="str">
        <f ca="1">IFERROR(__xludf.DUMMYFUNCTION("C290*IMPORTRANGE(""https://docs.google.com/spreadsheets/d/1xsp01RMmkav9iTy39Zaj_7tE9677EGlOJ14KU9TZn7I/"",""2003-2017!H871"")"),"#REF!")</f>
        <v>#REF!</v>
      </c>
      <c r="E296" s="46" t="str">
        <f ca="1">IFERROR(__xludf.DUMMYFUNCTION("C290*IMPORTRANGE(""https://docs.google.com/spreadsheets/d/1xsp01RMmkav9iTy39Zaj_7tE9677EGlOJ14KU9TZn7I/"",""2003-2017!T871"")"),"#REF!")</f>
        <v>#REF!</v>
      </c>
      <c r="F296" s="46" t="str">
        <f ca="1">IFERROR(__xludf.DUMMYFUNCTION("C290*IMPORTRANGE(""https://docs.google.com/spreadsheets/d/1xsp01RMmkav9iTy39Zaj_7tE9677EGlOJ14KU9TZn7I/"",""2003-2017!AC871"")"),"#REF!")</f>
        <v>#REF!</v>
      </c>
      <c r="G296" s="49" t="s">
        <v>9</v>
      </c>
      <c r="K296" s="9"/>
      <c r="L296" s="2"/>
      <c r="M296" s="11"/>
      <c r="N296" s="11"/>
      <c r="O296" s="11"/>
      <c r="P296" s="11"/>
      <c r="Q296" s="1"/>
    </row>
    <row r="297" spans="1:17" ht="12.5" x14ac:dyDescent="0.25">
      <c r="A297" s="87" t="s">
        <v>275</v>
      </c>
      <c r="B297" s="69">
        <v>2</v>
      </c>
      <c r="C297" s="63">
        <f>210.1/1000</f>
        <v>0.21009999999999998</v>
      </c>
      <c r="D297" s="63" t="str">
        <f ca="1">IFERROR(__xludf.DUMMYFUNCTION("C291*IMPORTRANGE(""https://docs.google.com/spreadsheets/d/1xsp01RMmkav9iTy39Zaj_7tE9677EGlOJ14KU9TZn7I/"",""2003-2017!H892"")"),"#REF!")</f>
        <v>#REF!</v>
      </c>
      <c r="E297" s="63" t="str">
        <f ca="1">IFERROR(__xludf.DUMMYFUNCTION("C291*IMPORTRANGE(""https://docs.google.com/spreadsheets/d/1xsp01RMmkav9iTy39Zaj_7tE9677EGlOJ14KU9TZn7I/"",""2003-2017!T892"")"),"#REF!")</f>
        <v>#REF!</v>
      </c>
      <c r="F297" s="63" t="str">
        <f ca="1">IFERROR(__xludf.DUMMYFUNCTION("C291*IMPORTRANGE(""https://docs.google.com/spreadsheets/d/1xsp01RMmkav9iTy39Zaj_7tE9677EGlOJ14KU9TZn7I/"",""2003-2017!AC892"")"),"#REF!")</f>
        <v>#REF!</v>
      </c>
      <c r="G297" s="66" t="s">
        <v>9</v>
      </c>
      <c r="K297" s="9"/>
      <c r="L297" s="2"/>
      <c r="M297" s="11"/>
      <c r="N297" s="11"/>
      <c r="O297" s="11"/>
      <c r="P297" s="11"/>
      <c r="Q297" s="1"/>
    </row>
    <row r="298" spans="1:17" ht="12.5" x14ac:dyDescent="0.25">
      <c r="A298" s="88" t="s">
        <v>276</v>
      </c>
      <c r="B298" s="53">
        <v>2</v>
      </c>
      <c r="C298" s="46">
        <f>54.5/1000</f>
        <v>5.45E-2</v>
      </c>
      <c r="D298" s="46" t="str">
        <f ca="1">IFERROR(__xludf.DUMMYFUNCTION("C292*IMPORTRANGE(""https://docs.google.com/spreadsheets/d/1xsp01RMmkav9iTy39Zaj_7tE9677EGlOJ14KU9TZn7I/"",""2003-2017!H915"")"),"#REF!")</f>
        <v>#REF!</v>
      </c>
      <c r="E298" s="46" t="str">
        <f ca="1">IFERROR(__xludf.DUMMYFUNCTION("C292*IMPORTRANGE(""https://docs.google.com/spreadsheets/d/1xsp01RMmkav9iTy39Zaj_7tE9677EGlOJ14KU9TZn7I/"",""2003-2017!T915"")"),"#REF!")</f>
        <v>#REF!</v>
      </c>
      <c r="F298" s="46" t="str">
        <f ca="1">IFERROR(__xludf.DUMMYFUNCTION("C292*IMPORTRANGE(""https://docs.google.com/spreadsheets/d/1xsp01RMmkav9iTy39Zaj_7tE9677EGlOJ14KU9TZn7I/"",""2003-2017!AC915"")"),"#REF!")</f>
        <v>#REF!</v>
      </c>
      <c r="G298" s="49" t="s">
        <v>9</v>
      </c>
      <c r="K298" s="9"/>
      <c r="L298" s="2"/>
      <c r="M298" s="11"/>
      <c r="N298" s="11"/>
      <c r="O298" s="11"/>
      <c r="P298" s="11"/>
      <c r="Q298" s="1"/>
    </row>
    <row r="299" spans="1:17" ht="12.5" x14ac:dyDescent="0.25">
      <c r="A299" s="87" t="s">
        <v>277</v>
      </c>
      <c r="B299" s="69">
        <v>0</v>
      </c>
      <c r="C299" s="63">
        <v>0</v>
      </c>
      <c r="D299" s="63" t="str">
        <f ca="1">IFERROR(__xludf.DUMMYFUNCTION("C293*IMPORTRANGE(""https://docs.google.com/spreadsheets/d/1xsp01RMmkav9iTy39Zaj_7tE9677EGlOJ14KU9TZn7I/"",""2003-2017!H937"")"),"#REF!")</f>
        <v>#REF!</v>
      </c>
      <c r="E299" s="63" t="str">
        <f ca="1">IFERROR(__xludf.DUMMYFUNCTION("C293*IMPORTRANGE(""https://docs.google.com/spreadsheets/d/1xsp01RMmkav9iTy39Zaj_7tE9677EGlOJ14KU9TZn7I/"",""2003-2017!T937"")"),"#REF!")</f>
        <v>#REF!</v>
      </c>
      <c r="F299" s="63" t="str">
        <f ca="1">IFERROR(__xludf.DUMMYFUNCTION("C293*IMPORTRANGE(""https://docs.google.com/spreadsheets/d/1xsp01RMmkav9iTy39Zaj_7tE9677EGlOJ14KU9TZn7I/"",""2003-2017!AC937"")"),"#REF!")</f>
        <v>#REF!</v>
      </c>
      <c r="G299" s="66" t="s">
        <v>9</v>
      </c>
      <c r="K299" s="9"/>
      <c r="L299" s="2"/>
      <c r="M299" s="11"/>
      <c r="N299" s="11"/>
      <c r="O299" s="11"/>
      <c r="P299" s="11"/>
      <c r="Q299" s="1"/>
    </row>
    <row r="300" spans="1:17" ht="12.5" x14ac:dyDescent="0.25">
      <c r="A300" s="88" t="s">
        <v>278</v>
      </c>
      <c r="B300" s="53">
        <v>3</v>
      </c>
      <c r="C300" s="46">
        <f>327.8/1000</f>
        <v>0.32780000000000004</v>
      </c>
      <c r="D300" s="46" t="str">
        <f ca="1">IFERROR(__xludf.DUMMYFUNCTION("C294*IMPORTRANGE(""https://docs.google.com/spreadsheets/d/1xsp01RMmkav9iTy39Zaj_7tE9677EGlOJ14KU9TZn7I/"",""2003-2017!H961"")"),"#REF!")</f>
        <v>#REF!</v>
      </c>
      <c r="E300" s="46" t="str">
        <f ca="1">IFERROR(__xludf.DUMMYFUNCTION("C294*IMPORTRANGE(""https://docs.google.com/spreadsheets/d/1xsp01RMmkav9iTy39Zaj_7tE9677EGlOJ14KU9TZn7I/"",""2003-2017!T961"")"),"#REF!")</f>
        <v>#REF!</v>
      </c>
      <c r="F300" s="46" t="str">
        <f ca="1">IFERROR(__xludf.DUMMYFUNCTION("C294*IMPORTRANGE(""https://docs.google.com/spreadsheets/d/1xsp01RMmkav9iTy39Zaj_7tE9677EGlOJ14KU9TZn7I/"",""2003-2017!AC961"")"),"#REF!")</f>
        <v>#REF!</v>
      </c>
      <c r="G300" s="49" t="s">
        <v>9</v>
      </c>
      <c r="K300" s="9"/>
      <c r="L300" s="2"/>
      <c r="M300" s="11"/>
      <c r="N300" s="11"/>
      <c r="O300" s="11"/>
      <c r="P300" s="11"/>
      <c r="Q300" s="1"/>
    </row>
    <row r="301" spans="1:17" ht="12.5" x14ac:dyDescent="0.25">
      <c r="A301" s="87" t="s">
        <v>279</v>
      </c>
      <c r="B301" s="69">
        <v>1</v>
      </c>
      <c r="C301" s="63">
        <f>265/1000</f>
        <v>0.26500000000000001</v>
      </c>
      <c r="D301" s="63" t="str">
        <f ca="1">IFERROR(__xludf.DUMMYFUNCTION("C295*IMPORTRANGE(""https://docs.google.com/spreadsheets/d/1xsp01RMmkav9iTy39Zaj_7tE9677EGlOJ14KU9TZn7I/"",""2003-2017!H983"")"),"#REF!")</f>
        <v>#REF!</v>
      </c>
      <c r="E301" s="63" t="str">
        <f ca="1">IFERROR(__xludf.DUMMYFUNCTION("C295*IMPORTRANGE(""https://docs.google.com/spreadsheets/d/1xsp01RMmkav9iTy39Zaj_7tE9677EGlOJ14KU9TZn7I/"",""2003-2017!T983"")"),"#REF!")</f>
        <v>#REF!</v>
      </c>
      <c r="F301" s="63" t="str">
        <f ca="1">IFERROR(__xludf.DUMMYFUNCTION("C295*IMPORTRANGE(""https://docs.google.com/spreadsheets/d/1xsp01RMmkav9iTy39Zaj_7tE9677EGlOJ14KU9TZn7I/"",""2003-2017!AC983"")"),"#REF!")</f>
        <v>#REF!</v>
      </c>
      <c r="G301" s="66" t="s">
        <v>9</v>
      </c>
      <c r="K301" s="9"/>
      <c r="L301" s="2"/>
      <c r="M301" s="11"/>
      <c r="N301" s="11"/>
      <c r="O301" s="11"/>
      <c r="P301" s="11"/>
      <c r="Q301" s="1"/>
    </row>
    <row r="302" spans="1:17" ht="12.5" x14ac:dyDescent="0.25">
      <c r="A302" s="88" t="s">
        <v>280</v>
      </c>
      <c r="B302" s="53">
        <v>5</v>
      </c>
      <c r="C302" s="46">
        <f>372/1000</f>
        <v>0.372</v>
      </c>
      <c r="D302" s="46" t="str">
        <f ca="1">IFERROR(__xludf.DUMMYFUNCTION("C296*IMPORTRANGE(""https://docs.google.com/spreadsheets/d/1xsp01RMmkav9iTy39Zaj_7tE9677EGlOJ14KU9TZn7I/"",""2003-2017!H1006"")"),"#REF!")</f>
        <v>#REF!</v>
      </c>
      <c r="E302" s="46" t="str">
        <f ca="1">IFERROR(__xludf.DUMMYFUNCTION("C296*IMPORTRANGE(""https://docs.google.com/spreadsheets/d/1xsp01RMmkav9iTy39Zaj_7tE9677EGlOJ14KU9TZn7I/"",""2003-2017!T1006"")"),"#REF!")</f>
        <v>#REF!</v>
      </c>
      <c r="F302" s="46" t="str">
        <f ca="1">IFERROR(__xludf.DUMMYFUNCTION("C296*IMPORTRANGE(""https://docs.google.com/spreadsheets/d/1xsp01RMmkav9iTy39Zaj_7tE9677EGlOJ14KU9TZn7I/"",""2003-2017!AC1006"")"),"#REF!")</f>
        <v>#REF!</v>
      </c>
      <c r="G302" s="49" t="s">
        <v>9</v>
      </c>
      <c r="K302" s="9"/>
      <c r="L302" s="2"/>
      <c r="M302" s="11"/>
      <c r="N302" s="11"/>
      <c r="O302" s="11"/>
      <c r="P302" s="11"/>
      <c r="Q302" s="1"/>
    </row>
    <row r="303" spans="1:17" ht="12.5" x14ac:dyDescent="0.25">
      <c r="A303" s="87" t="s">
        <v>281</v>
      </c>
      <c r="B303" s="69">
        <v>0</v>
      </c>
      <c r="C303" s="63">
        <v>0</v>
      </c>
      <c r="D303" s="63" t="str">
        <f ca="1">IFERROR(__xludf.DUMMYFUNCTION("C297*IMPORTRANGE(""https://docs.google.com/spreadsheets/d/1xsp01RMmkav9iTy39Zaj_7tE9677EGlOJ14KU9TZn7I/"",""2003-2017!H1030"")"),"#REF!")</f>
        <v>#REF!</v>
      </c>
      <c r="E303" s="63" t="str">
        <f ca="1">IFERROR(__xludf.DUMMYFUNCTION("C297*IMPORTRANGE(""https://docs.google.com/spreadsheets/d/1xsp01RMmkav9iTy39Zaj_7tE9677EGlOJ14KU9TZn7I/"",""2003-2017!T1030"")"),"#REF!")</f>
        <v>#REF!</v>
      </c>
      <c r="F303" s="63" t="str">
        <f ca="1">IFERROR(__xludf.DUMMYFUNCTION("C297*IMPORTRANGE(""https://docs.google.com/spreadsheets/d/1xsp01RMmkav9iTy39Zaj_7tE9677EGlOJ14KU9TZn7I/"",""2003-2017!AC1030"")"),"#REF!")</f>
        <v>#REF!</v>
      </c>
      <c r="G303" s="66" t="s">
        <v>9</v>
      </c>
      <c r="K303" s="9"/>
      <c r="L303" s="2"/>
      <c r="M303" s="11"/>
      <c r="N303" s="11"/>
      <c r="O303" s="11"/>
      <c r="P303" s="11"/>
      <c r="Q303" s="1"/>
    </row>
    <row r="304" spans="1:17" ht="12.5" x14ac:dyDescent="0.25">
      <c r="A304" s="88" t="s">
        <v>282</v>
      </c>
      <c r="B304" s="53">
        <v>4</v>
      </c>
      <c r="C304" s="46">
        <f>107.6/1000</f>
        <v>0.1076</v>
      </c>
      <c r="D304" s="46" t="str">
        <f ca="1">IFERROR(__xludf.DUMMYFUNCTION("C298*IMPORTRANGE(""https://docs.google.com/spreadsheets/d/1xsp01RMmkav9iTy39Zaj_7tE9677EGlOJ14KU9TZn7I/"",""2003-2017!H1051"")"),"#REF!")</f>
        <v>#REF!</v>
      </c>
      <c r="E304" s="46" t="str">
        <f ca="1">IFERROR(__xludf.DUMMYFUNCTION("C298*IMPORTRANGE(""https://docs.google.com/spreadsheets/d/1xsp01RMmkav9iTy39Zaj_7tE9677EGlOJ14KU9TZn7I/"",""2003-2017!T1051"")"),"#REF!")</f>
        <v>#REF!</v>
      </c>
      <c r="F304" s="46" t="str">
        <f ca="1">IFERROR(__xludf.DUMMYFUNCTION("C298*IMPORTRANGE(""https://docs.google.com/spreadsheets/d/1xsp01RMmkav9iTy39Zaj_7tE9677EGlOJ14KU9TZn7I/"",""2003-2017!AC1051"")"),"#REF!")</f>
        <v>#REF!</v>
      </c>
      <c r="G304" s="49" t="s">
        <v>9</v>
      </c>
      <c r="K304" s="9"/>
      <c r="L304" s="2"/>
      <c r="M304" s="11"/>
      <c r="N304" s="11"/>
      <c r="O304" s="11"/>
      <c r="P304" s="11"/>
      <c r="Q304" s="1"/>
    </row>
    <row r="305" spans="1:17" ht="12.5" x14ac:dyDescent="0.25">
      <c r="A305" s="87" t="s">
        <v>283</v>
      </c>
      <c r="B305" s="69">
        <v>8</v>
      </c>
      <c r="C305" s="63">
        <f>357/1000</f>
        <v>0.35699999999999998</v>
      </c>
      <c r="D305" s="63" t="str">
        <f ca="1">IFERROR(__xludf.DUMMYFUNCTION("C299*IMPORTRANGE(""https://docs.google.com/spreadsheets/d/1xsp01RMmkav9iTy39Zaj_7tE9677EGlOJ14KU9TZn7I/"",""2003-2017!H1075"")"),"#REF!")</f>
        <v>#REF!</v>
      </c>
      <c r="E305" s="63" t="str">
        <f ca="1">IFERROR(__xludf.DUMMYFUNCTION("C299*IMPORTRANGE(""https://docs.google.com/spreadsheets/d/1xsp01RMmkav9iTy39Zaj_7tE9677EGlOJ14KU9TZn7I/"",""2003-2017!T1075"")"),"#REF!")</f>
        <v>#REF!</v>
      </c>
      <c r="F305" s="63" t="str">
        <f ca="1">IFERROR(__xludf.DUMMYFUNCTION("C299*IMPORTRANGE(""https://docs.google.com/spreadsheets/d/1xsp01RMmkav9iTy39Zaj_7tE9677EGlOJ14KU9TZn7I/"",""2003-2017!AC1075"")"),"#REF!")</f>
        <v>#REF!</v>
      </c>
      <c r="G305" s="66" t="s">
        <v>9</v>
      </c>
      <c r="K305" s="9"/>
      <c r="L305" s="2"/>
      <c r="M305" s="11"/>
      <c r="N305" s="11"/>
      <c r="O305" s="11"/>
      <c r="P305" s="11"/>
      <c r="Q305" s="1"/>
    </row>
    <row r="306" spans="1:17" ht="12.5" x14ac:dyDescent="0.25">
      <c r="A306" s="88" t="s">
        <v>284</v>
      </c>
      <c r="B306" s="53">
        <v>4</v>
      </c>
      <c r="C306" s="46">
        <f>6.9/1000</f>
        <v>6.9000000000000008E-3</v>
      </c>
      <c r="D306" s="46" t="str">
        <f ca="1">IFERROR(__xludf.DUMMYFUNCTION("C300*IMPORTRANGE(""https://docs.google.com/spreadsheets/d/1xsp01RMmkav9iTy39Zaj_7tE9677EGlOJ14KU9TZn7I/"",""2003-2017!H1098"")"),"#REF!")</f>
        <v>#REF!</v>
      </c>
      <c r="E306" s="46" t="str">
        <f ca="1">IFERROR(__xludf.DUMMYFUNCTION("C300*IMPORTRANGE(""https://docs.google.com/spreadsheets/d/1xsp01RMmkav9iTy39Zaj_7tE9677EGlOJ14KU9TZn7I/"",""2003-2017!T1098"")"),"#REF!")</f>
        <v>#REF!</v>
      </c>
      <c r="F306" s="46" t="str">
        <f ca="1">IFERROR(__xludf.DUMMYFUNCTION("C300*IMPORTRANGE(""https://docs.google.com/spreadsheets/d/1xsp01RMmkav9iTy39Zaj_7tE9677EGlOJ14KU9TZn7I/"",""2003-2017!AC1098"")"),"#REF!")</f>
        <v>#REF!</v>
      </c>
      <c r="G306" s="49" t="s">
        <v>9</v>
      </c>
      <c r="K306" s="9"/>
      <c r="L306" s="2"/>
      <c r="M306" s="11"/>
      <c r="N306" s="11"/>
      <c r="O306" s="11"/>
      <c r="P306" s="11"/>
      <c r="Q306" s="1"/>
    </row>
    <row r="307" spans="1:17" ht="12.5" x14ac:dyDescent="0.25">
      <c r="A307" s="87" t="s">
        <v>285</v>
      </c>
      <c r="B307" s="69">
        <v>6</v>
      </c>
      <c r="C307" s="63">
        <f>4.54/1000</f>
        <v>4.5399999999999998E-3</v>
      </c>
      <c r="D307" s="63" t="str">
        <f ca="1">IFERROR(__xludf.DUMMYFUNCTION("C301*IMPORTRANGE(""https://docs.google.com/spreadsheets/d/1xsp01RMmkav9iTy39Zaj_7tE9677EGlOJ14KU9TZn7I/"",""2003-2017!H1120"")"),"#REF!")</f>
        <v>#REF!</v>
      </c>
      <c r="E307" s="63" t="str">
        <f ca="1">IFERROR(__xludf.DUMMYFUNCTION("C301*IMPORTRANGE(""https://docs.google.com/spreadsheets/d/1xsp01RMmkav9iTy39Zaj_7tE9677EGlOJ14KU9TZn7I/"",""2003-2017!T1120"")"),"#REF!")</f>
        <v>#REF!</v>
      </c>
      <c r="F307" s="63" t="str">
        <f ca="1">IFERROR(__xludf.DUMMYFUNCTION("C301*IMPORTRANGE(""https://docs.google.com/spreadsheets/d/1xsp01RMmkav9iTy39Zaj_7tE9677EGlOJ14KU9TZn7I/"",""2003-2017!AC1120"")"),"#REF!")</f>
        <v>#REF!</v>
      </c>
      <c r="G307" s="66" t="s">
        <v>9</v>
      </c>
      <c r="K307" s="9"/>
      <c r="L307" s="2"/>
      <c r="M307" s="11"/>
      <c r="N307" s="11"/>
      <c r="O307" s="11"/>
      <c r="P307" s="11"/>
      <c r="Q307" s="1"/>
    </row>
    <row r="308" spans="1:17" ht="12.5" x14ac:dyDescent="0.25">
      <c r="A308" s="76">
        <v>2008</v>
      </c>
      <c r="B308" s="60"/>
      <c r="C308" s="75"/>
      <c r="D308" s="75"/>
      <c r="E308" s="75"/>
      <c r="F308" s="75"/>
      <c r="G308" s="77"/>
      <c r="K308" s="9"/>
      <c r="L308" s="2"/>
      <c r="M308" s="11"/>
      <c r="N308" s="11"/>
      <c r="O308" s="11"/>
      <c r="P308" s="11"/>
      <c r="Q308" s="1"/>
    </row>
    <row r="309" spans="1:17" ht="12.5" x14ac:dyDescent="0.25">
      <c r="A309" s="88" t="s">
        <v>286</v>
      </c>
      <c r="B309" s="53">
        <v>6</v>
      </c>
      <c r="C309" s="46">
        <f>10.4/1000</f>
        <v>1.04E-2</v>
      </c>
      <c r="D309" s="46" t="str">
        <f ca="1">IFERROR(__xludf.DUMMYFUNCTION("C303*IMPORTRANGE(""https://docs.google.com/spreadsheets/d/1xsp01RMmkav9iTy39Zaj_7tE9677EGlOJ14KU9TZn7I/"",""2003-2017!H1145"")"),"#REF!")</f>
        <v>#REF!</v>
      </c>
      <c r="E309" s="46" t="str">
        <f ca="1">IFERROR(__xludf.DUMMYFUNCTION("C303*IMPORTRANGE(""https://docs.google.com/spreadsheets/d/1xsp01RMmkav9iTy39Zaj_7tE9677EGlOJ14KU9TZn7I/"",""2003-2017!T1145"")"),"#REF!")</f>
        <v>#REF!</v>
      </c>
      <c r="F309" s="46" t="str">
        <f ca="1">IFERROR(__xludf.DUMMYFUNCTION("C303*IMPORTRANGE(""https://docs.google.com/spreadsheets/d/1xsp01RMmkav9iTy39Zaj_7tE9677EGlOJ14KU9TZn7I/"",""2003-2017!AC1145"")"),"#REF!")</f>
        <v>#REF!</v>
      </c>
      <c r="G309" s="49" t="s">
        <v>9</v>
      </c>
      <c r="K309" s="9"/>
      <c r="L309" s="2"/>
      <c r="M309" s="11"/>
      <c r="N309" s="11"/>
      <c r="O309" s="11"/>
      <c r="P309" s="11"/>
      <c r="Q309" s="1"/>
    </row>
    <row r="310" spans="1:17" ht="12.5" x14ac:dyDescent="0.25">
      <c r="A310" s="87" t="s">
        <v>287</v>
      </c>
      <c r="B310" s="69">
        <v>5</v>
      </c>
      <c r="C310" s="63">
        <f>122.4/1000</f>
        <v>0.12240000000000001</v>
      </c>
      <c r="D310" s="63" t="str">
        <f ca="1">IFERROR(__xludf.DUMMYFUNCTION("C304*IMPORTRANGE(""https://docs.google.com/spreadsheets/d/1xsp01RMmkav9iTy39Zaj_7tE9677EGlOJ14KU9TZn7I/"",""2003-2017!H1167"")"),"#REF!")</f>
        <v>#REF!</v>
      </c>
      <c r="E310" s="63" t="str">
        <f ca="1">IFERROR(__xludf.DUMMYFUNCTION("C304*IMPORTRANGE(""https://docs.google.com/spreadsheets/d/1xsp01RMmkav9iTy39Zaj_7tE9677EGlOJ14KU9TZn7I/"",""2003-2017!T1167"")"),"#REF!")</f>
        <v>#REF!</v>
      </c>
      <c r="F310" s="63" t="str">
        <f ca="1">IFERROR(__xludf.DUMMYFUNCTION("C304*IMPORTRANGE(""https://docs.google.com/spreadsheets/d/1xsp01RMmkav9iTy39Zaj_7tE9677EGlOJ14KU9TZn7I/"",""2003-2017!AC1167"")"),"#REF!")</f>
        <v>#REF!</v>
      </c>
      <c r="G310" s="66" t="s">
        <v>9</v>
      </c>
      <c r="K310" s="9"/>
      <c r="L310" s="2"/>
      <c r="M310" s="11"/>
      <c r="N310" s="11"/>
      <c r="O310" s="11"/>
      <c r="P310" s="11"/>
      <c r="Q310" s="1"/>
    </row>
    <row r="311" spans="1:17" ht="12.5" x14ac:dyDescent="0.25">
      <c r="A311" s="88" t="s">
        <v>288</v>
      </c>
      <c r="B311" s="53">
        <v>2</v>
      </c>
      <c r="C311" s="46">
        <f>0.868/1000</f>
        <v>8.6799999999999996E-4</v>
      </c>
      <c r="D311" s="46" t="str">
        <f ca="1">IFERROR(__xludf.DUMMYFUNCTION("C305*IMPORTRANGE(""https://docs.google.com/spreadsheets/d/1xsp01RMmkav9iTy39Zaj_7tE9677EGlOJ14KU9TZn7I/"",""2003-2017!H1189"")"),"#REF!")</f>
        <v>#REF!</v>
      </c>
      <c r="E311" s="46" t="str">
        <f ca="1">IFERROR(__xludf.DUMMYFUNCTION("C305*IMPORTRANGE(""https://docs.google.com/spreadsheets/d/1xsp01RMmkav9iTy39Zaj_7tE9677EGlOJ14KU9TZn7I/"",""2003-2017!T1189"")"),"#REF!")</f>
        <v>#REF!</v>
      </c>
      <c r="F311" s="46" t="str">
        <f ca="1">IFERROR(__xludf.DUMMYFUNCTION("C305*IMPORTRANGE(""https://docs.google.com/spreadsheets/d/1xsp01RMmkav9iTy39Zaj_7tE9677EGlOJ14KU9TZn7I/"",""2003-2017!AC1189"")"),"#REF!")</f>
        <v>#REF!</v>
      </c>
      <c r="G311" s="49" t="s">
        <v>9</v>
      </c>
      <c r="K311" s="9"/>
      <c r="L311" s="2"/>
      <c r="M311" s="11"/>
      <c r="N311" s="11"/>
      <c r="O311" s="11"/>
      <c r="P311" s="11"/>
      <c r="Q311" s="1"/>
    </row>
    <row r="312" spans="1:17" ht="12.5" x14ac:dyDescent="0.25">
      <c r="A312" s="87" t="s">
        <v>289</v>
      </c>
      <c r="B312" s="69">
        <v>3</v>
      </c>
      <c r="C312" s="63">
        <f>400.2/1000</f>
        <v>0.4002</v>
      </c>
      <c r="D312" s="63" t="str">
        <f ca="1">IFERROR(__xludf.DUMMYFUNCTION("C306*IMPORTRANGE(""https://docs.google.com/spreadsheets/d/1xsp01RMmkav9iTy39Zaj_7tE9677EGlOJ14KU9TZn7I/"",""2003-2017!H1211"")"),"#REF!")</f>
        <v>#REF!</v>
      </c>
      <c r="E312" s="63" t="str">
        <f ca="1">IFERROR(__xludf.DUMMYFUNCTION("C306*IMPORTRANGE(""https://docs.google.com/spreadsheets/d/1xsp01RMmkav9iTy39Zaj_7tE9677EGlOJ14KU9TZn7I/"",""2003-2017!T1211"")"),"#REF!")</f>
        <v>#REF!</v>
      </c>
      <c r="F312" s="63" t="str">
        <f ca="1">IFERROR(__xludf.DUMMYFUNCTION("C306*IMPORTRANGE(""https://docs.google.com/spreadsheets/d/1xsp01RMmkav9iTy39Zaj_7tE9677EGlOJ14KU9TZn7I/"",""2003-2017!AC1211"")"),"#REF!")</f>
        <v>#REF!</v>
      </c>
      <c r="G312" s="66" t="s">
        <v>9</v>
      </c>
      <c r="K312" s="9"/>
      <c r="L312" s="2"/>
      <c r="M312" s="11"/>
      <c r="N312" s="11"/>
      <c r="O312" s="11"/>
      <c r="P312" s="11"/>
      <c r="Q312" s="1"/>
    </row>
    <row r="313" spans="1:17" ht="12.5" x14ac:dyDescent="0.25">
      <c r="A313" s="88" t="s">
        <v>290</v>
      </c>
      <c r="B313" s="53">
        <v>6</v>
      </c>
      <c r="C313" s="46">
        <f>4.32/1000</f>
        <v>4.3200000000000001E-3</v>
      </c>
      <c r="D313" s="46" t="str">
        <f ca="1">IFERROR(__xludf.DUMMYFUNCTION("C307*IMPORTRANGE(""https://docs.google.com/spreadsheets/d/1xsp01RMmkav9iTy39Zaj_7tE9677EGlOJ14KU9TZn7I/"",""2003-2017!H1233"")"),"#REF!")</f>
        <v>#REF!</v>
      </c>
      <c r="E313" s="46" t="str">
        <f ca="1">IFERROR(__xludf.DUMMYFUNCTION("C307*IMPORTRANGE(""https://docs.google.com/spreadsheets/d/1xsp01RMmkav9iTy39Zaj_7tE9677EGlOJ14KU9TZn7I/"",""2003-2017!T1233"")"),"#REF!")</f>
        <v>#REF!</v>
      </c>
      <c r="F313" s="46" t="str">
        <f ca="1">IFERROR(__xludf.DUMMYFUNCTION("C307*IMPORTRANGE(""https://docs.google.com/spreadsheets/d/1xsp01RMmkav9iTy39Zaj_7tE9677EGlOJ14KU9TZn7I/"",""2003-2017!AC1233"")"),"#REF!")</f>
        <v>#REF!</v>
      </c>
      <c r="G313" s="49" t="s">
        <v>9</v>
      </c>
      <c r="K313" s="9"/>
      <c r="L313" s="2"/>
      <c r="M313" s="11"/>
      <c r="N313" s="11"/>
      <c r="O313" s="11"/>
      <c r="P313" s="11"/>
      <c r="Q313" s="1"/>
    </row>
    <row r="314" spans="1:17" ht="12.5" x14ac:dyDescent="0.25">
      <c r="A314" s="87" t="s">
        <v>291</v>
      </c>
      <c r="B314" s="69">
        <v>4</v>
      </c>
      <c r="C314" s="63">
        <f>12.2/1000</f>
        <v>1.2199999999999999E-2</v>
      </c>
      <c r="D314" s="63" t="str">
        <f ca="1">IFERROR(__xludf.DUMMYFUNCTION("C308*IMPORTRANGE(""https://docs.google.com/spreadsheets/d/1xsp01RMmkav9iTy39Zaj_7tE9677EGlOJ14KU9TZn7I/"",""2003-2017!H1255"")"),"#REF!")</f>
        <v>#REF!</v>
      </c>
      <c r="E314" s="63" t="str">
        <f ca="1">IFERROR(__xludf.DUMMYFUNCTION("C308*IMPORTRANGE(""https://docs.google.com/spreadsheets/d/1xsp01RMmkav9iTy39Zaj_7tE9677EGlOJ14KU9TZn7I/"",""2003-2017!T1255"")"),"#REF!")</f>
        <v>#REF!</v>
      </c>
      <c r="F314" s="63" t="str">
        <f ca="1">IFERROR(__xludf.DUMMYFUNCTION("C308*IMPORTRANGE(""https://docs.google.com/spreadsheets/d/1xsp01RMmkav9iTy39Zaj_7tE9677EGlOJ14KU9TZn7I/"",""2003-2017!AC1255"")"),"#REF!")</f>
        <v>#REF!</v>
      </c>
      <c r="G314" s="66" t="s">
        <v>9</v>
      </c>
      <c r="K314" s="9"/>
      <c r="L314" s="2"/>
      <c r="M314" s="11"/>
      <c r="N314" s="11"/>
      <c r="O314" s="11"/>
      <c r="P314" s="11"/>
      <c r="Q314" s="1"/>
    </row>
    <row r="315" spans="1:17" ht="12.5" x14ac:dyDescent="0.25">
      <c r="A315" s="88" t="s">
        <v>292</v>
      </c>
      <c r="B315" s="53">
        <v>1</v>
      </c>
      <c r="C315" s="46">
        <f>21.5/1000</f>
        <v>2.1499999999999998E-2</v>
      </c>
      <c r="D315" s="46" t="str">
        <f ca="1">IFERROR(__xludf.DUMMYFUNCTION("C309*IMPORTRANGE(""https://docs.google.com/spreadsheets/d/1xsp01RMmkav9iTy39Zaj_7tE9677EGlOJ14KU9TZn7I/"",""2003-2017!H1278"")"),"#REF!")</f>
        <v>#REF!</v>
      </c>
      <c r="E315" s="46" t="str">
        <f ca="1">IFERROR(__xludf.DUMMYFUNCTION("C309*IMPORTRANGE(""https://docs.google.com/spreadsheets/d/1xsp01RMmkav9iTy39Zaj_7tE9677EGlOJ14KU9TZn7I/"",""2003-2017!T1278"")"),"#REF!")</f>
        <v>#REF!</v>
      </c>
      <c r="F315" s="46" t="str">
        <f ca="1">IFERROR(__xludf.DUMMYFUNCTION("C309*IMPORTRANGE(""https://docs.google.com/spreadsheets/d/1xsp01RMmkav9iTy39Zaj_7tE9677EGlOJ14KU9TZn7I/"",""2003-2017!AC1278"")"),"#REF!")</f>
        <v>#REF!</v>
      </c>
      <c r="G315" s="49" t="s">
        <v>9</v>
      </c>
      <c r="K315" s="9"/>
      <c r="L315" s="2"/>
      <c r="M315" s="11"/>
      <c r="N315" s="11"/>
      <c r="O315" s="11"/>
      <c r="P315" s="11"/>
      <c r="Q315" s="1"/>
    </row>
    <row r="316" spans="1:17" ht="12.5" x14ac:dyDescent="0.25">
      <c r="A316" s="87" t="s">
        <v>293</v>
      </c>
      <c r="B316" s="69">
        <v>3</v>
      </c>
      <c r="C316" s="63">
        <f>269.8/1000</f>
        <v>0.26979999999999998</v>
      </c>
      <c r="D316" s="63" t="str">
        <f ca="1">IFERROR(__xludf.DUMMYFUNCTION("C310*IMPORTRANGE(""https://docs.google.com/spreadsheets/d/1xsp01RMmkav9iTy39Zaj_7tE9677EGlOJ14KU9TZn7I/"",""2003-2017!H1300"")"),"#REF!")</f>
        <v>#REF!</v>
      </c>
      <c r="E316" s="63" t="str">
        <f ca="1">IFERROR(__xludf.DUMMYFUNCTION("C310*IMPORTRANGE(""https://docs.google.com/spreadsheets/d/1xsp01RMmkav9iTy39Zaj_7tE9677EGlOJ14KU9TZn7I/"",""2003-2017!T1300"")"),"#REF!")</f>
        <v>#REF!</v>
      </c>
      <c r="F316" s="63" t="str">
        <f ca="1">IFERROR(__xludf.DUMMYFUNCTION("C310*IMPORTRANGE(""https://docs.google.com/spreadsheets/d/1xsp01RMmkav9iTy39Zaj_7tE9677EGlOJ14KU9TZn7I/"",""2003-2017!AC1300"")"),"#REF!")</f>
        <v>#REF!</v>
      </c>
      <c r="G316" s="66" t="s">
        <v>9</v>
      </c>
      <c r="K316" s="9"/>
      <c r="L316" s="2"/>
      <c r="M316" s="11"/>
      <c r="N316" s="11"/>
      <c r="O316" s="11"/>
      <c r="P316" s="11"/>
      <c r="Q316" s="1"/>
    </row>
    <row r="317" spans="1:17" ht="12.5" x14ac:dyDescent="0.25">
      <c r="A317" s="88" t="s">
        <v>294</v>
      </c>
      <c r="B317" s="53">
        <v>2</v>
      </c>
      <c r="C317" s="46">
        <f>0.245/1000</f>
        <v>2.4499999999999999E-4</v>
      </c>
      <c r="D317" s="46" t="str">
        <f ca="1">IFERROR(__xludf.DUMMYFUNCTION("C311*IMPORTRANGE(""https://docs.google.com/spreadsheets/d/1xsp01RMmkav9iTy39Zaj_7tE9677EGlOJ14KU9TZn7I/"",""2003-2017!H1323"")"),"#REF!")</f>
        <v>#REF!</v>
      </c>
      <c r="E317" s="46" t="str">
        <f ca="1">IFERROR(__xludf.DUMMYFUNCTION("C311*IMPORTRANGE(""https://docs.google.com/spreadsheets/d/1xsp01RMmkav9iTy39Zaj_7tE9677EGlOJ14KU9TZn7I/"",""2003-2017!T1323"")"),"#REF!")</f>
        <v>#REF!</v>
      </c>
      <c r="F317" s="46" t="str">
        <f ca="1">IFERROR(__xludf.DUMMYFUNCTION("C311*IMPORTRANGE(""https://docs.google.com/spreadsheets/d/1xsp01RMmkav9iTy39Zaj_7tE9677EGlOJ14KU9TZn7I/"",""2003-2017!AC1323"")"),"#REF!")</f>
        <v>#REF!</v>
      </c>
      <c r="G317" s="49" t="s">
        <v>9</v>
      </c>
      <c r="K317" s="9"/>
      <c r="L317" s="2"/>
      <c r="M317" s="11"/>
      <c r="N317" s="11"/>
      <c r="O317" s="11"/>
      <c r="P317" s="11"/>
      <c r="Q317" s="1"/>
    </row>
    <row r="318" spans="1:17" ht="12.5" x14ac:dyDescent="0.25">
      <c r="A318" s="87" t="s">
        <v>295</v>
      </c>
      <c r="B318" s="69">
        <v>3</v>
      </c>
      <c r="C318" s="63">
        <f>105.4/1000</f>
        <v>0.10540000000000001</v>
      </c>
      <c r="D318" s="63" t="str">
        <f ca="1">IFERROR(__xludf.DUMMYFUNCTION("C312*IMPORTRANGE(""https://docs.google.com/spreadsheets/d/1xsp01RMmkav9iTy39Zaj_7tE9677EGlOJ14KU9TZn7I/"",""2003-2017!H1347"")"),"#REF!")</f>
        <v>#REF!</v>
      </c>
      <c r="E318" s="63" t="str">
        <f ca="1">IFERROR(__xludf.DUMMYFUNCTION("C312*IMPORTRANGE(""https://docs.google.com/spreadsheets/d/1xsp01RMmkav9iTy39Zaj_7tE9677EGlOJ14KU9TZn7I/"",""2003-2017!T1347"")"),"#REF!")</f>
        <v>#REF!</v>
      </c>
      <c r="F318" s="63" t="str">
        <f ca="1">IFERROR(__xludf.DUMMYFUNCTION("C312*IMPORTRANGE(""https://docs.google.com/spreadsheets/d/1xsp01RMmkav9iTy39Zaj_7tE9677EGlOJ14KU9TZn7I/"",""2003-2017!AC1347"")"),"#REF!")</f>
        <v>#REF!</v>
      </c>
      <c r="G318" s="66" t="s">
        <v>9</v>
      </c>
      <c r="K318" s="9"/>
      <c r="L318" s="2"/>
      <c r="M318" s="11"/>
      <c r="N318" s="11"/>
      <c r="O318" s="11"/>
      <c r="P318" s="11"/>
      <c r="Q318" s="1"/>
    </row>
    <row r="319" spans="1:17" ht="12.5" x14ac:dyDescent="0.25">
      <c r="A319" s="88" t="s">
        <v>296</v>
      </c>
      <c r="B319" s="53">
        <v>3</v>
      </c>
      <c r="C319" s="46">
        <f>4.45/1000</f>
        <v>4.45E-3</v>
      </c>
      <c r="D319" s="46" t="str">
        <f ca="1">IFERROR(__xludf.DUMMYFUNCTION("C313*IMPORTRANGE(""https://docs.google.com/spreadsheets/d/1xsp01RMmkav9iTy39Zaj_7tE9677EGlOJ14KU9TZn7I/"",""2003-2017!H1368"")"),"#REF!")</f>
        <v>#REF!</v>
      </c>
      <c r="E319" s="46" t="str">
        <f ca="1">IFERROR(__xludf.DUMMYFUNCTION("C313*IMPORTRANGE(""https://docs.google.com/spreadsheets/d/1xsp01RMmkav9iTy39Zaj_7tE9677EGlOJ14KU9TZn7I/"",""2003-2017!T1368"")"),"#REF!")</f>
        <v>#REF!</v>
      </c>
      <c r="F319" s="46" t="str">
        <f ca="1">IFERROR(__xludf.DUMMYFUNCTION("C313*IMPORTRANGE(""https://docs.google.com/spreadsheets/d/1xsp01RMmkav9iTy39Zaj_7tE9677EGlOJ14KU9TZn7I/"",""2003-2017!AC1368"")"),"#REF!")</f>
        <v>#REF!</v>
      </c>
      <c r="G319" s="49" t="s">
        <v>9</v>
      </c>
      <c r="K319" s="9"/>
      <c r="L319" s="2"/>
      <c r="M319" s="11"/>
      <c r="N319" s="11"/>
      <c r="O319" s="11"/>
      <c r="P319" s="11"/>
      <c r="Q319" s="1"/>
    </row>
    <row r="320" spans="1:17" ht="12.5" x14ac:dyDescent="0.25">
      <c r="A320" s="87" t="s">
        <v>297</v>
      </c>
      <c r="B320" s="69">
        <v>1</v>
      </c>
      <c r="C320" s="63">
        <v>0</v>
      </c>
      <c r="D320" s="63" t="str">
        <f ca="1">IFERROR(__xludf.DUMMYFUNCTION("C314*IMPORTRANGE(""https://docs.google.com/spreadsheets/d/1xsp01RMmkav9iTy39Zaj_7tE9677EGlOJ14KU9TZn7I/"",""2003-2017!H1392"")"),"#REF!")</f>
        <v>#REF!</v>
      </c>
      <c r="E320" s="63" t="str">
        <f ca="1">IFERROR(__xludf.DUMMYFUNCTION("C314*IMPORTRANGE(""https://docs.google.com/spreadsheets/d/1xsp01RMmkav9iTy39Zaj_7tE9677EGlOJ14KU9TZn7I/"",""2003-2017!T1392"")"),"#REF!")</f>
        <v>#REF!</v>
      </c>
      <c r="F320" s="63" t="str">
        <f ca="1">IFERROR(__xludf.DUMMYFUNCTION("C314*IMPORTRANGE(""https://docs.google.com/spreadsheets/d/1xsp01RMmkav9iTy39Zaj_7tE9677EGlOJ14KU9TZn7I/"",""2003-2017!AC1392"")"),"#REF!")</f>
        <v>#REF!</v>
      </c>
      <c r="G320" s="66" t="s">
        <v>9</v>
      </c>
      <c r="K320" s="9"/>
      <c r="L320" s="2"/>
      <c r="M320" s="11"/>
      <c r="N320" s="11"/>
      <c r="O320" s="11"/>
      <c r="P320" s="11"/>
      <c r="Q320" s="1"/>
    </row>
    <row r="321" spans="1:17" ht="12.5" x14ac:dyDescent="0.25">
      <c r="A321" s="76">
        <v>2009</v>
      </c>
      <c r="B321" s="60"/>
      <c r="C321" s="75"/>
      <c r="D321" s="75"/>
      <c r="E321" s="75"/>
      <c r="F321" s="75"/>
      <c r="G321" s="77"/>
      <c r="K321" s="9"/>
      <c r="L321" s="2"/>
      <c r="M321" s="11"/>
      <c r="N321" s="11"/>
      <c r="O321" s="11"/>
      <c r="P321" s="11"/>
      <c r="Q321" s="1"/>
    </row>
    <row r="322" spans="1:17" ht="12.5" x14ac:dyDescent="0.25">
      <c r="A322" s="88" t="s">
        <v>298</v>
      </c>
      <c r="B322" s="53">
        <v>3</v>
      </c>
      <c r="C322" s="46">
        <f>26.9/1000</f>
        <v>2.69E-2</v>
      </c>
      <c r="D322" s="46" t="str">
        <f ca="1">IFERROR(__xludf.DUMMYFUNCTION("C316*IMPORTRANGE(""https://docs.google.com/spreadsheets/d/1xsp01RMmkav9iTy39Zaj_7tE9677EGlOJ14KU9TZn7I/"",""2003-2017!H1416"")"),"#REF!")</f>
        <v>#REF!</v>
      </c>
      <c r="E322" s="46" t="str">
        <f ca="1">IFERROR(__xludf.DUMMYFUNCTION("C316*IMPORTRANGE(""https://docs.google.com/spreadsheets/d/1xsp01RMmkav9iTy39Zaj_7tE9677EGlOJ14KU9TZn7I/"",""2003-2017!T1416"")"),"#REF!")</f>
        <v>#REF!</v>
      </c>
      <c r="F322" s="46" t="str">
        <f ca="1">IFERROR(__xludf.DUMMYFUNCTION("C316*IMPORTRANGE(""https://docs.google.com/spreadsheets/d/1xsp01RMmkav9iTy39Zaj_7tE9677EGlOJ14KU9TZn7I/"",""2003-2017!AC1416"")"),"#REF!")</f>
        <v>#REF!</v>
      </c>
      <c r="G322" s="49" t="s">
        <v>9</v>
      </c>
      <c r="K322" s="9"/>
      <c r="L322" s="2"/>
      <c r="M322" s="11"/>
      <c r="N322" s="11"/>
      <c r="O322" s="11"/>
      <c r="P322" s="11"/>
      <c r="Q322" s="1"/>
    </row>
    <row r="323" spans="1:17" ht="12.5" x14ac:dyDescent="0.25">
      <c r="A323" s="87" t="s">
        <v>299</v>
      </c>
      <c r="B323" s="69">
        <v>4</v>
      </c>
      <c r="C323" s="63">
        <f>249.4/1000</f>
        <v>0.24940000000000001</v>
      </c>
      <c r="D323" s="63" t="str">
        <f ca="1">IFERROR(__xludf.DUMMYFUNCTION("C317*IMPORTRANGE(""https://docs.google.com/spreadsheets/d/1xsp01RMmkav9iTy39Zaj_7tE9677EGlOJ14KU9TZn7I/"",""2003-2017!H1437"")"),"#REF!")</f>
        <v>#REF!</v>
      </c>
      <c r="E323" s="63" t="str">
        <f ca="1">IFERROR(__xludf.DUMMYFUNCTION("C317*IMPORTRANGE(""https://docs.google.com/spreadsheets/d/1xsp01RMmkav9iTy39Zaj_7tE9677EGlOJ14KU9TZn7I/"",""2003-2017!T1437"")"),"#REF!")</f>
        <v>#REF!</v>
      </c>
      <c r="F323" s="63" t="str">
        <f ca="1">IFERROR(__xludf.DUMMYFUNCTION("C317*IMPORTRANGE(""https://docs.google.com/spreadsheets/d/1xsp01RMmkav9iTy39Zaj_7tE9677EGlOJ14KU9TZn7I/"",""2003-2017!AC1437"")"),"#REF!")</f>
        <v>#REF!</v>
      </c>
      <c r="G323" s="66" t="s">
        <v>9</v>
      </c>
      <c r="K323" s="9"/>
      <c r="L323" s="2"/>
      <c r="M323" s="11"/>
      <c r="N323" s="11"/>
      <c r="O323" s="11"/>
      <c r="P323" s="11"/>
      <c r="Q323" s="1"/>
    </row>
    <row r="324" spans="1:17" ht="12.5" x14ac:dyDescent="0.25">
      <c r="A324" s="88" t="s">
        <v>300</v>
      </c>
      <c r="B324" s="53">
        <v>1</v>
      </c>
      <c r="C324" s="46">
        <v>0</v>
      </c>
      <c r="D324" s="46" t="str">
        <f ca="1">IFERROR(__xludf.DUMMYFUNCTION("C318*IMPORTRANGE(""https://docs.google.com/spreadsheets/d/1xsp01RMmkav9iTy39Zaj_7tE9677EGlOJ14KU9TZn7I/"",""2003-2017!H1460"")"),"#REF!")</f>
        <v>#REF!</v>
      </c>
      <c r="E324" s="46" t="str">
        <f ca="1">IFERROR(__xludf.DUMMYFUNCTION("C318*IMPORTRANGE(""https://docs.google.com/spreadsheets/d/1xsp01RMmkav9iTy39Zaj_7tE9677EGlOJ14KU9TZn7I/"",""2003-2017!T1460"")"),"#REF!")</f>
        <v>#REF!</v>
      </c>
      <c r="F324" s="46" t="str">
        <f ca="1">IFERROR(__xludf.DUMMYFUNCTION("C318*IMPORTRANGE(""https://docs.google.com/spreadsheets/d/1xsp01RMmkav9iTy39Zaj_7tE9677EGlOJ14KU9TZn7I/"",""2003-2017!AC1460"")"),"#REF!")</f>
        <v>#REF!</v>
      </c>
      <c r="G324" s="49" t="s">
        <v>9</v>
      </c>
      <c r="K324" s="9"/>
      <c r="L324" s="2"/>
      <c r="M324" s="11"/>
      <c r="N324" s="11"/>
      <c r="O324" s="11"/>
      <c r="P324" s="11"/>
      <c r="Q324" s="1"/>
    </row>
    <row r="325" spans="1:17" ht="12.5" x14ac:dyDescent="0.25">
      <c r="A325" s="87" t="s">
        <v>301</v>
      </c>
      <c r="B325" s="69">
        <v>2</v>
      </c>
      <c r="C325" s="63">
        <f>1.61/1000</f>
        <v>1.6100000000000001E-3</v>
      </c>
      <c r="D325" s="63" t="str">
        <f ca="1">IFERROR(__xludf.DUMMYFUNCTION("C319*IMPORTRANGE(""https://docs.google.com/spreadsheets/d/1xsp01RMmkav9iTy39Zaj_7tE9677EGlOJ14KU9TZn7I/"",""2003-2017!H1483"")"),"#REF!")</f>
        <v>#REF!</v>
      </c>
      <c r="E325" s="63" t="str">
        <f ca="1">IFERROR(__xludf.DUMMYFUNCTION("C319*IMPORTRANGE(""https://docs.google.com/spreadsheets/d/1xsp01RMmkav9iTy39Zaj_7tE9677EGlOJ14KU9TZn7I/"",""2003-2017!T1483"")"),"#REF!")</f>
        <v>#REF!</v>
      </c>
      <c r="F325" s="63" t="str">
        <f ca="1">IFERROR(__xludf.DUMMYFUNCTION("C319*IMPORTRANGE(""https://docs.google.com/spreadsheets/d/1xsp01RMmkav9iTy39Zaj_7tE9677EGlOJ14KU9TZn7I/"",""2003-2017!AC1483"")"),"#REF!")</f>
        <v>#REF!</v>
      </c>
      <c r="G325" s="66" t="s">
        <v>9</v>
      </c>
      <c r="K325" s="9"/>
      <c r="L325" s="2"/>
      <c r="M325" s="11"/>
      <c r="N325" s="11"/>
      <c r="O325" s="11"/>
      <c r="P325" s="11"/>
      <c r="Q325" s="1"/>
    </row>
    <row r="326" spans="1:17" ht="12.5" x14ac:dyDescent="0.25">
      <c r="A326" s="88" t="s">
        <v>302</v>
      </c>
      <c r="B326" s="53">
        <v>1</v>
      </c>
      <c r="C326" s="46">
        <f>6.51/1000</f>
        <v>6.5100000000000002E-3</v>
      </c>
      <c r="D326" s="46" t="str">
        <f ca="1">IFERROR(__xludf.DUMMYFUNCTION("C320*IMPORTRANGE(""https://docs.google.com/spreadsheets/d/1xsp01RMmkav9iTy39Zaj_7tE9677EGlOJ14KU9TZn7I/"",""2003-2017!H1505"")"),"#REF!")</f>
        <v>#REF!</v>
      </c>
      <c r="E326" s="46" t="str">
        <f ca="1">IFERROR(__xludf.DUMMYFUNCTION("C320*IMPORTRANGE(""https://docs.google.com/spreadsheets/d/1xsp01RMmkav9iTy39Zaj_7tE9677EGlOJ14KU9TZn7I/"",""2003-2017!T1505"")"),"#REF!")</f>
        <v>#REF!</v>
      </c>
      <c r="F326" s="46" t="str">
        <f ca="1">IFERROR(__xludf.DUMMYFUNCTION("C320*IMPORTRANGE(""https://docs.google.com/spreadsheets/d/1xsp01RMmkav9iTy39Zaj_7tE9677EGlOJ14KU9TZn7I/"",""2003-2017!AC1505"")"),"#REF!")</f>
        <v>#REF!</v>
      </c>
      <c r="G326" s="49" t="s">
        <v>9</v>
      </c>
      <c r="K326" s="9"/>
      <c r="L326" s="2"/>
      <c r="M326" s="11"/>
      <c r="N326" s="11"/>
      <c r="O326" s="11"/>
      <c r="P326" s="11"/>
      <c r="Q326" s="1"/>
    </row>
    <row r="327" spans="1:17" ht="12.5" x14ac:dyDescent="0.25">
      <c r="A327" s="87" t="s">
        <v>303</v>
      </c>
      <c r="B327" s="69">
        <v>5</v>
      </c>
      <c r="C327" s="63">
        <f>8.56/1000</f>
        <v>8.5599999999999999E-3</v>
      </c>
      <c r="D327" s="63" t="str">
        <f ca="1">IFERROR(__xludf.DUMMYFUNCTION("C321*IMPORTRANGE(""https://docs.google.com/spreadsheets/d/1xsp01RMmkav9iTy39Zaj_7tE9677EGlOJ14KU9TZn7I/"",""2003-2017!H1528"")"),"#REF!")</f>
        <v>#REF!</v>
      </c>
      <c r="E327" s="63" t="str">
        <f ca="1">IFERROR(__xludf.DUMMYFUNCTION("C321*IMPORTRANGE(""https://docs.google.com/spreadsheets/d/1xsp01RMmkav9iTy39Zaj_7tE9677EGlOJ14KU9TZn7I/"",""2003-2017!T1528"")"),"#REF!")</f>
        <v>#REF!</v>
      </c>
      <c r="F327" s="63" t="str">
        <f ca="1">IFERROR(__xludf.DUMMYFUNCTION("C321*IMPORTRANGE(""https://docs.google.com/spreadsheets/d/1xsp01RMmkav9iTy39Zaj_7tE9677EGlOJ14KU9TZn7I/"",""2003-2017!AC1528"")"),"#REF!")</f>
        <v>#REF!</v>
      </c>
      <c r="G327" s="66" t="s">
        <v>9</v>
      </c>
      <c r="K327" s="9"/>
      <c r="L327" s="2"/>
      <c r="M327" s="11"/>
      <c r="N327" s="11"/>
      <c r="O327" s="11"/>
      <c r="P327" s="11"/>
      <c r="Q327" s="1"/>
    </row>
    <row r="328" spans="1:17" ht="12.5" x14ac:dyDescent="0.25">
      <c r="A328" s="88" t="s">
        <v>304</v>
      </c>
      <c r="B328" s="48">
        <v>3</v>
      </c>
      <c r="C328" s="46">
        <v>0</v>
      </c>
      <c r="D328" s="46" t="str">
        <f ca="1">IFERROR(__xludf.DUMMYFUNCTION("C322*IMPORTRANGE(""https://docs.google.com/spreadsheets/d/1xsp01RMmkav9iTy39Zaj_7tE9677EGlOJ14KU9TZn7I/"",""2003-2017!H1552"")"),"#REF!")</f>
        <v>#REF!</v>
      </c>
      <c r="E328" s="46" t="str">
        <f ca="1">IFERROR(__xludf.DUMMYFUNCTION("C322*IMPORTRANGE(""https://docs.google.com/spreadsheets/d/1xsp01RMmkav9iTy39Zaj_7tE9677EGlOJ14KU9TZn7I/"",""2003-2017!T1552"")"),"#REF!")</f>
        <v>#REF!</v>
      </c>
      <c r="F328" s="46" t="str">
        <f ca="1">IFERROR(__xludf.DUMMYFUNCTION("C322*IMPORTRANGE(""https://docs.google.com/spreadsheets/d/1xsp01RMmkav9iTy39Zaj_7tE9677EGlOJ14KU9TZn7I/"",""2003-2017!AC1552"")"),"#REF!")</f>
        <v>#REF!</v>
      </c>
      <c r="G328" s="49" t="s">
        <v>9</v>
      </c>
      <c r="K328" s="9"/>
      <c r="L328" s="2"/>
      <c r="M328" s="11"/>
      <c r="N328" s="11"/>
      <c r="O328" s="11"/>
      <c r="P328" s="11"/>
      <c r="Q328" s="1"/>
    </row>
    <row r="329" spans="1:17" ht="12.5" x14ac:dyDescent="0.25">
      <c r="A329" s="87" t="s">
        <v>305</v>
      </c>
      <c r="B329" s="69">
        <v>0</v>
      </c>
      <c r="C329" s="63">
        <v>0</v>
      </c>
      <c r="D329" s="63" t="str">
        <f ca="1">IFERROR(__xludf.DUMMYFUNCTION("C323*IMPORTRANGE(""https://docs.google.com/spreadsheets/d/1xsp01RMmkav9iTy39Zaj_7tE9677EGlOJ14KU9TZn7I/"",""2003-2017!H1574"")"),"#REF!")</f>
        <v>#REF!</v>
      </c>
      <c r="E329" s="63" t="str">
        <f ca="1">IFERROR(__xludf.DUMMYFUNCTION("C323*IMPORTRANGE(""https://docs.google.com/spreadsheets/d/1xsp01RMmkav9iTy39Zaj_7tE9677EGlOJ14KU9TZn7I/"",""2003-2017!T1574"")"),"#REF!")</f>
        <v>#REF!</v>
      </c>
      <c r="F329" s="63" t="str">
        <f ca="1">IFERROR(__xludf.DUMMYFUNCTION("C323*IMPORTRANGE(""https://docs.google.com/spreadsheets/d/1xsp01RMmkav9iTy39Zaj_7tE9677EGlOJ14KU9TZn7I/"",""2003-2017!AC1574"")"),"#REF!")</f>
        <v>#REF!</v>
      </c>
      <c r="G329" s="66" t="s">
        <v>9</v>
      </c>
      <c r="K329" s="9"/>
      <c r="L329" s="2"/>
      <c r="M329" s="11"/>
      <c r="N329" s="11"/>
      <c r="O329" s="11"/>
      <c r="P329" s="11"/>
      <c r="Q329" s="1"/>
    </row>
    <row r="330" spans="1:17" ht="12.5" x14ac:dyDescent="0.25">
      <c r="A330" s="88" t="s">
        <v>306</v>
      </c>
      <c r="B330" s="53">
        <v>0</v>
      </c>
      <c r="C330" s="46">
        <v>0</v>
      </c>
      <c r="D330" s="46" t="str">
        <f ca="1">IFERROR(__xludf.DUMMYFUNCTION("C324*IMPORTRANGE(""https://docs.google.com/spreadsheets/d/1xsp01RMmkav9iTy39Zaj_7tE9677EGlOJ14KU9TZn7I/"",""2003-2017!H1597"")"),"#REF!")</f>
        <v>#REF!</v>
      </c>
      <c r="E330" s="46" t="str">
        <f ca="1">IFERROR(__xludf.DUMMYFUNCTION("C324*IMPORTRANGE(""https://docs.google.com/spreadsheets/d/1xsp01RMmkav9iTy39Zaj_7tE9677EGlOJ14KU9TZn7I/"",""2003-2017!T1597"")"),"#REF!")</f>
        <v>#REF!</v>
      </c>
      <c r="F330" s="46" t="str">
        <f ca="1">IFERROR(__xludf.DUMMYFUNCTION("C324*IMPORTRANGE(""https://docs.google.com/spreadsheets/d/1xsp01RMmkav9iTy39Zaj_7tE9677EGlOJ14KU9TZn7I/"",""2003-2017!AC1597"")"),"#REF!")</f>
        <v>#REF!</v>
      </c>
      <c r="G330" s="49" t="s">
        <v>9</v>
      </c>
      <c r="K330" s="9"/>
      <c r="L330" s="2"/>
      <c r="M330" s="11"/>
      <c r="N330" s="11"/>
      <c r="O330" s="11"/>
      <c r="P330" s="11"/>
      <c r="Q330" s="1"/>
    </row>
    <row r="331" spans="1:17" ht="12.5" x14ac:dyDescent="0.25">
      <c r="A331" s="87" t="s">
        <v>307</v>
      </c>
      <c r="B331" s="69">
        <v>2</v>
      </c>
      <c r="C331" s="63">
        <f>172.3/1000</f>
        <v>0.17230000000000001</v>
      </c>
      <c r="D331" s="63" t="str">
        <f ca="1">IFERROR(__xludf.DUMMYFUNCTION("C325*IMPORTRANGE(""https://docs.google.com/spreadsheets/d/1xsp01RMmkav9iTy39Zaj_7tE9677EGlOJ14KU9TZn7I/"",""2003-2017!H1620"")"),"#REF!")</f>
        <v>#REF!</v>
      </c>
      <c r="E331" s="63" t="str">
        <f ca="1">IFERROR(__xludf.DUMMYFUNCTION("C325*IMPORTRANGE(""https://docs.google.com/spreadsheets/d/1xsp01RMmkav9iTy39Zaj_7tE9677EGlOJ14KU9TZn7I/"",""2003-2017!T1620"")"),"#REF!")</f>
        <v>#REF!</v>
      </c>
      <c r="F331" s="63" t="str">
        <f ca="1">IFERROR(__xludf.DUMMYFUNCTION("C325*IMPORTRANGE(""https://docs.google.com/spreadsheets/d/1xsp01RMmkav9iTy39Zaj_7tE9677EGlOJ14KU9TZn7I/"",""2003-2017!AC1620"")"),"#REF!")</f>
        <v>#REF!</v>
      </c>
      <c r="G331" s="66" t="s">
        <v>9</v>
      </c>
      <c r="K331" s="9"/>
      <c r="L331" s="2"/>
      <c r="M331" s="11"/>
      <c r="N331" s="11"/>
      <c r="O331" s="11"/>
      <c r="P331" s="11"/>
      <c r="Q331" s="1"/>
    </row>
    <row r="332" spans="1:17" ht="12.5" x14ac:dyDescent="0.25">
      <c r="A332" s="88" t="s">
        <v>308</v>
      </c>
      <c r="B332" s="53">
        <v>0</v>
      </c>
      <c r="C332" s="46">
        <v>0</v>
      </c>
      <c r="D332" s="46" t="str">
        <f ca="1">IFERROR(__xludf.DUMMYFUNCTION("C326*IMPORTRANGE(""https://docs.google.com/spreadsheets/d/1xsp01RMmkav9iTy39Zaj_7tE9677EGlOJ14KU9TZn7I/"",""2003-2017!H1642"")"),"#REF!")</f>
        <v>#REF!</v>
      </c>
      <c r="E332" s="46" t="str">
        <f ca="1">IFERROR(__xludf.DUMMYFUNCTION("C326*IMPORTRANGE(""https://docs.google.com/spreadsheets/d/1xsp01RMmkav9iTy39Zaj_7tE9677EGlOJ14KU9TZn7I/"",""2003-2017!T1642"")"),"#REF!")</f>
        <v>#REF!</v>
      </c>
      <c r="F332" s="46" t="str">
        <f ca="1">IFERROR(__xludf.DUMMYFUNCTION("C326*IMPORTRANGE(""https://docs.google.com/spreadsheets/d/1xsp01RMmkav9iTy39Zaj_7tE9677EGlOJ14KU9TZn7I/"",""2003-2017!AC1642"")"),"#REF!")</f>
        <v>#REF!</v>
      </c>
      <c r="G332" s="49" t="s">
        <v>9</v>
      </c>
      <c r="K332" s="9"/>
      <c r="L332" s="2"/>
      <c r="M332" s="11"/>
      <c r="N332" s="11"/>
      <c r="O332" s="11"/>
      <c r="P332" s="11"/>
      <c r="Q332" s="1"/>
    </row>
    <row r="333" spans="1:17" ht="12.5" x14ac:dyDescent="0.25">
      <c r="A333" s="87" t="s">
        <v>309</v>
      </c>
      <c r="B333" s="69">
        <v>4</v>
      </c>
      <c r="C333" s="63">
        <f>209.2/1000</f>
        <v>0.2092</v>
      </c>
      <c r="D333" s="63" t="str">
        <f ca="1">IFERROR(__xludf.DUMMYFUNCTION("C327*IMPORTRANGE(""https://docs.google.com/spreadsheets/d/1xsp01RMmkav9iTy39Zaj_7tE9677EGlOJ14KU9TZn7I/"",""2003-2017!H1666"")"),"#REF!")</f>
        <v>#REF!</v>
      </c>
      <c r="E333" s="63" t="str">
        <f ca="1">IFERROR(__xludf.DUMMYFUNCTION("C327*IMPORTRANGE(""https://docs.google.com/spreadsheets/d/1xsp01RMmkav9iTy39Zaj_7tE9677EGlOJ14KU9TZn7I/"",""2003-2017!T1666"")"),"#REF!")</f>
        <v>#REF!</v>
      </c>
      <c r="F333" s="63" t="str">
        <f ca="1">IFERROR(__xludf.DUMMYFUNCTION("C327*IMPORTRANGE(""https://docs.google.com/spreadsheets/d/1xsp01RMmkav9iTy39Zaj_7tE9677EGlOJ14KU9TZn7I/"",""2003-2017!AC1666"")"),"#REF!")</f>
        <v>#REF!</v>
      </c>
      <c r="G333" s="66" t="s">
        <v>9</v>
      </c>
      <c r="K333" s="9"/>
      <c r="L333" s="2"/>
      <c r="M333" s="11"/>
      <c r="N333" s="11"/>
      <c r="O333" s="11"/>
      <c r="P333" s="11"/>
      <c r="Q333" s="1"/>
    </row>
    <row r="334" spans="1:17" ht="12.5" x14ac:dyDescent="0.25">
      <c r="A334" s="76">
        <v>2010</v>
      </c>
      <c r="B334" s="60"/>
      <c r="C334" s="75"/>
      <c r="D334" s="75"/>
      <c r="E334" s="75"/>
      <c r="F334" s="75"/>
      <c r="G334" s="77"/>
      <c r="K334" s="9"/>
      <c r="L334" s="2"/>
      <c r="M334" s="11"/>
      <c r="N334" s="11"/>
      <c r="O334" s="11"/>
      <c r="P334" s="11"/>
      <c r="Q334" s="1"/>
    </row>
    <row r="335" spans="1:17" ht="12.5" x14ac:dyDescent="0.25">
      <c r="A335" s="88" t="s">
        <v>310</v>
      </c>
      <c r="B335" s="53">
        <v>1</v>
      </c>
      <c r="C335" s="46">
        <v>0</v>
      </c>
      <c r="D335" s="46" t="str">
        <f ca="1">IFERROR(__xludf.DUMMYFUNCTION("C329*IMPORTRANGE(""https://docs.google.com/spreadsheets/d/1xsp01RMmkav9iTy39Zaj_7tE9677EGlOJ14KU9TZn7I/"",""2003-2017!H1689"")"),"#REF!")</f>
        <v>#REF!</v>
      </c>
      <c r="E335" s="46" t="str">
        <f ca="1">IFERROR(__xludf.DUMMYFUNCTION("C329*IMPORTRANGE(""https://docs.google.com/spreadsheets/d/1xsp01RMmkav9iTy39Zaj_7tE9677EGlOJ14KU9TZn7I/"",""2003-2017!T1689"")"),"#REF!")</f>
        <v>#REF!</v>
      </c>
      <c r="F335" s="46" t="str">
        <f ca="1">IFERROR(__xludf.DUMMYFUNCTION("C329*IMPORTRANGE(""https://docs.google.com/spreadsheets/d/1xsp01RMmkav9iTy39Zaj_7tE9677EGlOJ14KU9TZn7I/"",""2003-2017!AC1689"")"),"#REF!")</f>
        <v>#REF!</v>
      </c>
      <c r="G335" s="49" t="s">
        <v>9</v>
      </c>
      <c r="K335" s="9"/>
      <c r="L335" s="2"/>
      <c r="M335" s="11"/>
      <c r="N335" s="11"/>
      <c r="O335" s="11"/>
      <c r="P335" s="11"/>
      <c r="Q335" s="1"/>
    </row>
    <row r="336" spans="1:17" ht="12.5" x14ac:dyDescent="0.25">
      <c r="A336" s="87" t="s">
        <v>311</v>
      </c>
      <c r="B336" s="69">
        <v>7</v>
      </c>
      <c r="C336" s="63">
        <f>52.5/1000</f>
        <v>5.2499999999999998E-2</v>
      </c>
      <c r="D336" s="63" t="str">
        <f ca="1">IFERROR(__xludf.DUMMYFUNCTION("C330*IMPORTRANGE(""https://docs.google.com/spreadsheets/d/1xsp01RMmkav9iTy39Zaj_7tE9677EGlOJ14KU9TZn7I/"",""2003-2017!H1710"")"),"#REF!")</f>
        <v>#REF!</v>
      </c>
      <c r="E336" s="63" t="str">
        <f ca="1">IFERROR(__xludf.DUMMYFUNCTION("C330*IMPORTRANGE(""https://docs.google.com/spreadsheets/d/1xsp01RMmkav9iTy39Zaj_7tE9677EGlOJ14KU9TZn7I/"",""2003-2017!T1710"")"),"#REF!")</f>
        <v>#REF!</v>
      </c>
      <c r="F336" s="63" t="str">
        <f ca="1">IFERROR(__xludf.DUMMYFUNCTION("C330*IMPORTRANGE(""https://docs.google.com/spreadsheets/d/1xsp01RMmkav9iTy39Zaj_7tE9677EGlOJ14KU9TZn7I/"",""2003-2017!AC1710"")"),"#REF!")</f>
        <v>#REF!</v>
      </c>
      <c r="G336" s="66" t="s">
        <v>9</v>
      </c>
      <c r="K336" s="9"/>
      <c r="L336" s="2"/>
      <c r="M336" s="11"/>
      <c r="N336" s="11"/>
      <c r="O336" s="11"/>
      <c r="P336" s="11"/>
      <c r="Q336" s="1"/>
    </row>
    <row r="337" spans="1:17" ht="12.5" x14ac:dyDescent="0.25">
      <c r="A337" s="88" t="s">
        <v>312</v>
      </c>
      <c r="B337" s="53">
        <v>0</v>
      </c>
      <c r="C337" s="46">
        <v>0</v>
      </c>
      <c r="D337" s="46" t="str">
        <f ca="1">IFERROR(__xludf.DUMMYFUNCTION("C331*IMPORTRANGE(""https://docs.google.com/spreadsheets/d/1xsp01RMmkav9iTy39Zaj_7tE9677EGlOJ14KU9TZn7I/"",""2003-2017!H1734"")"),"#REF!")</f>
        <v>#REF!</v>
      </c>
      <c r="E337" s="46" t="str">
        <f ca="1">IFERROR(__xludf.DUMMYFUNCTION("C331*IMPORTRANGE(""https://docs.google.com/spreadsheets/d/1xsp01RMmkav9iTy39Zaj_7tE9677EGlOJ14KU9TZn7I/"",""2003-2017!T1734"")"),"#REF!")</f>
        <v>#REF!</v>
      </c>
      <c r="F337" s="46" t="str">
        <f ca="1">IFERROR(__xludf.DUMMYFUNCTION("C331*IMPORTRANGE(""https://docs.google.com/spreadsheets/d/1xsp01RMmkav9iTy39Zaj_7tE9677EGlOJ14KU9TZn7I/"",""2003-2017!AC1734"")"),"#REF!")</f>
        <v>#REF!</v>
      </c>
      <c r="G337" s="49" t="s">
        <v>9</v>
      </c>
      <c r="K337" s="9"/>
      <c r="L337" s="2"/>
      <c r="M337" s="11"/>
      <c r="N337" s="11"/>
      <c r="O337" s="11"/>
      <c r="P337" s="11"/>
      <c r="Q337" s="1"/>
    </row>
    <row r="338" spans="1:17" ht="12.5" x14ac:dyDescent="0.25">
      <c r="A338" s="87" t="s">
        <v>313</v>
      </c>
      <c r="B338" s="69">
        <v>2</v>
      </c>
      <c r="C338" s="63">
        <f>10.8/1000</f>
        <v>1.0800000000000001E-2</v>
      </c>
      <c r="D338" s="63" t="str">
        <f ca="1">IFERROR(__xludf.DUMMYFUNCTION("C332*IMPORTRANGE(""https://docs.google.com/spreadsheets/d/1xsp01RMmkav9iTy39Zaj_7tE9677EGlOJ14KU9TZn7I/"",""2003-2017!H1757"")"),"#REF!")</f>
        <v>#REF!</v>
      </c>
      <c r="E338" s="63" t="str">
        <f ca="1">IFERROR(__xludf.DUMMYFUNCTION("C332*IMPORTRANGE(""https://docs.google.com/spreadsheets/d/1xsp01RMmkav9iTy39Zaj_7tE9677EGlOJ14KU9TZn7I/"",""2003-2017!T1757"")"),"#REF!")</f>
        <v>#REF!</v>
      </c>
      <c r="F338" s="63" t="str">
        <f ca="1">IFERROR(__xludf.DUMMYFUNCTION("C332*IMPORTRANGE(""https://docs.google.com/spreadsheets/d/1xsp01RMmkav9iTy39Zaj_7tE9677EGlOJ14KU9TZn7I/"",""2003-2017!AC1757"")"),"#REF!")</f>
        <v>#REF!</v>
      </c>
      <c r="G338" s="66" t="s">
        <v>9</v>
      </c>
      <c r="K338" s="9"/>
      <c r="L338" s="2"/>
      <c r="M338" s="11"/>
      <c r="N338" s="11"/>
      <c r="O338" s="11"/>
      <c r="P338" s="11"/>
      <c r="Q338" s="1"/>
    </row>
    <row r="339" spans="1:17" ht="12.5" x14ac:dyDescent="0.25">
      <c r="A339" s="88" t="s">
        <v>314</v>
      </c>
      <c r="B339" s="53">
        <v>4</v>
      </c>
      <c r="C339" s="46">
        <f>34.5/1000</f>
        <v>3.4500000000000003E-2</v>
      </c>
      <c r="D339" s="46" t="str">
        <f ca="1">IFERROR(__xludf.DUMMYFUNCTION("C333*IMPORTRANGE(""https://docs.google.com/spreadsheets/d/1xsp01RMmkav9iTy39Zaj_7tE9677EGlOJ14KU9TZn7I/"",""2003-2017!H1779"")"),"#REF!")</f>
        <v>#REF!</v>
      </c>
      <c r="E339" s="46" t="str">
        <f ca="1">IFERROR(__xludf.DUMMYFUNCTION("C333*IMPORTRANGE(""https://docs.google.com/spreadsheets/d/1xsp01RMmkav9iTy39Zaj_7tE9677EGlOJ14KU9TZn7I/"",""2003-2017!T1779"")"),"#REF!")</f>
        <v>#REF!</v>
      </c>
      <c r="F339" s="46" t="str">
        <f ca="1">IFERROR(__xludf.DUMMYFUNCTION("C333*IMPORTRANGE(""https://docs.google.com/spreadsheets/d/1xsp01RMmkav9iTy39Zaj_7tE9677EGlOJ14KU9TZn7I/"",""2003-2017!AC1779"")"),"#REF!")</f>
        <v>#REF!</v>
      </c>
      <c r="G339" s="49" t="s">
        <v>9</v>
      </c>
      <c r="K339" s="9"/>
      <c r="L339" s="2"/>
      <c r="M339" s="11"/>
      <c r="N339" s="11"/>
      <c r="O339" s="11"/>
      <c r="P339" s="11"/>
      <c r="Q339" s="1"/>
    </row>
    <row r="340" spans="1:17" ht="12.5" x14ac:dyDescent="0.25">
      <c r="A340" s="87" t="s">
        <v>315</v>
      </c>
      <c r="B340" s="69">
        <v>2</v>
      </c>
      <c r="C340" s="63">
        <f>4.16/1000</f>
        <v>4.1600000000000005E-3</v>
      </c>
      <c r="D340" s="63" t="str">
        <f ca="1">IFERROR(__xludf.DUMMYFUNCTION("C334*IMPORTRANGE(""https://docs.google.com/spreadsheets/d/1xsp01RMmkav9iTy39Zaj_7tE9677EGlOJ14KU9TZn7I/"",""2003-2017!H1802"")"),"#REF!")</f>
        <v>#REF!</v>
      </c>
      <c r="E340" s="63" t="str">
        <f ca="1">IFERROR(__xludf.DUMMYFUNCTION("C334*IMPORTRANGE(""https://docs.google.com/spreadsheets/d/1xsp01RMmkav9iTy39Zaj_7tE9677EGlOJ14KU9TZn7I/"",""2003-2017!T1802"")"),"#REF!")</f>
        <v>#REF!</v>
      </c>
      <c r="F340" s="63" t="str">
        <f ca="1">IFERROR(__xludf.DUMMYFUNCTION("C334*IMPORTRANGE(""https://docs.google.com/spreadsheets/d/1xsp01RMmkav9iTy39Zaj_7tE9677EGlOJ14KU9TZn7I/"",""2003-2017!AC1802"")"),"#REF!")</f>
        <v>#REF!</v>
      </c>
      <c r="G340" s="66" t="s">
        <v>9</v>
      </c>
      <c r="K340" s="9"/>
      <c r="L340" s="2"/>
      <c r="M340" s="11"/>
      <c r="N340" s="11"/>
      <c r="O340" s="11"/>
      <c r="P340" s="11"/>
      <c r="Q340" s="1"/>
    </row>
    <row r="341" spans="1:17" ht="12.5" x14ac:dyDescent="0.25">
      <c r="A341" s="88" t="s">
        <v>316</v>
      </c>
      <c r="B341" s="53">
        <v>7</v>
      </c>
      <c r="C341" s="46">
        <f>48.2/1000</f>
        <v>4.82E-2</v>
      </c>
      <c r="D341" s="46" t="str">
        <f ca="1">IFERROR(__xludf.DUMMYFUNCTION("C335*IMPORTRANGE(""https://docs.google.com/spreadsheets/d/1xsp01RMmkav9iTy39Zaj_7tE9677EGlOJ14KU9TZn7I/"",""2003-2017!H1825"")"),"#REF!")</f>
        <v>#REF!</v>
      </c>
      <c r="E341" s="46" t="str">
        <f ca="1">IFERROR(__xludf.DUMMYFUNCTION("C335*IMPORTRANGE(""https://docs.google.com/spreadsheets/d/1xsp01RMmkav9iTy39Zaj_7tE9677EGlOJ14KU9TZn7I/"",""2003-2017!T1825"")"),"#REF!")</f>
        <v>#REF!</v>
      </c>
      <c r="F341" s="46" t="str">
        <f ca="1">IFERROR(__xludf.DUMMYFUNCTION("C335*IMPORTRANGE(""https://docs.google.com/spreadsheets/d/1xsp01RMmkav9iTy39Zaj_7tE9677EGlOJ14KU9TZn7I/"",""2003-2017!AC1825"")"),"#REF!")</f>
        <v>#REF!</v>
      </c>
      <c r="G341" s="49" t="s">
        <v>9</v>
      </c>
      <c r="K341" s="9"/>
      <c r="L341" s="2"/>
      <c r="M341" s="11"/>
      <c r="N341" s="11"/>
      <c r="O341" s="11"/>
      <c r="P341" s="11"/>
      <c r="Q341" s="1"/>
    </row>
    <row r="342" spans="1:17" ht="12.5" x14ac:dyDescent="0.25">
      <c r="A342" s="87" t="s">
        <v>317</v>
      </c>
      <c r="B342" s="69">
        <v>1</v>
      </c>
      <c r="C342" s="63">
        <v>0</v>
      </c>
      <c r="D342" s="63" t="str">
        <f ca="1">IFERROR(__xludf.DUMMYFUNCTION("C336*IMPORTRANGE(""https://docs.google.com/spreadsheets/d/1xsp01RMmkav9iTy39Zaj_7tE9677EGlOJ14KU9TZn7I/"",""2003-2017!H1848"")"),"#REF!")</f>
        <v>#REF!</v>
      </c>
      <c r="E342" s="63" t="str">
        <f ca="1">IFERROR(__xludf.DUMMYFUNCTION("C336*IMPORTRANGE(""https://docs.google.com/spreadsheets/d/1xsp01RMmkav9iTy39Zaj_7tE9677EGlOJ14KU9TZn7I/"",""2003-2017!T1848"")"),"#REF!")</f>
        <v>#REF!</v>
      </c>
      <c r="F342" s="63" t="str">
        <f ca="1">IFERROR(__xludf.DUMMYFUNCTION("C336*IMPORTRANGE(""https://docs.google.com/spreadsheets/d/1xsp01RMmkav9iTy39Zaj_7tE9677EGlOJ14KU9TZn7I/"",""2003-2017!AC1848"")"),"#REF!")</f>
        <v>#REF!</v>
      </c>
      <c r="G342" s="66" t="s">
        <v>9</v>
      </c>
      <c r="K342" s="9"/>
      <c r="L342" s="2"/>
      <c r="M342" s="11"/>
      <c r="N342" s="11"/>
      <c r="O342" s="11"/>
      <c r="P342" s="11"/>
      <c r="Q342" s="1"/>
    </row>
    <row r="343" spans="1:17" ht="12.5" x14ac:dyDescent="0.25">
      <c r="A343" s="88" t="s">
        <v>318</v>
      </c>
      <c r="B343" s="53">
        <v>3</v>
      </c>
      <c r="C343" s="46">
        <f>314.8/1000</f>
        <v>0.31480000000000002</v>
      </c>
      <c r="D343" s="46" t="str">
        <f ca="1">IFERROR(__xludf.DUMMYFUNCTION("C337*IMPORTRANGE(""https://docs.google.com/spreadsheets/d/1xsp01RMmkav9iTy39Zaj_7tE9677EGlOJ14KU9TZn7I/"",""2003-2017!H1871"")"),"#REF!")</f>
        <v>#REF!</v>
      </c>
      <c r="E343" s="46" t="str">
        <f ca="1">IFERROR(__xludf.DUMMYFUNCTION("C337*IMPORTRANGE(""https://docs.google.com/spreadsheets/d/1xsp01RMmkav9iTy39Zaj_7tE9677EGlOJ14KU9TZn7I/"",""2003-2017!T1871"")"),"#REF!")</f>
        <v>#REF!</v>
      </c>
      <c r="F343" s="46" t="str">
        <f ca="1">IFERROR(__xludf.DUMMYFUNCTION("C337*IMPORTRANGE(""https://docs.google.com/spreadsheets/d/1xsp01RMmkav9iTy39Zaj_7tE9677EGlOJ14KU9TZn7I/"",""2003-2017!AC1871"")"),"#REF!")</f>
        <v>#REF!</v>
      </c>
      <c r="G343" s="49" t="s">
        <v>9</v>
      </c>
      <c r="K343" s="9"/>
      <c r="L343" s="2"/>
      <c r="M343" s="11"/>
      <c r="N343" s="11"/>
      <c r="O343" s="11"/>
      <c r="P343" s="11"/>
      <c r="Q343" s="1"/>
    </row>
    <row r="344" spans="1:17" ht="12.5" x14ac:dyDescent="0.25">
      <c r="A344" s="87" t="s">
        <v>319</v>
      </c>
      <c r="B344" s="69">
        <v>4</v>
      </c>
      <c r="C344" s="63">
        <f>41.4/1000</f>
        <v>4.1399999999999999E-2</v>
      </c>
      <c r="D344" s="63" t="str">
        <f ca="1">IFERROR(__xludf.DUMMYFUNCTION("C338*IMPORTRANGE(""https://docs.google.com/spreadsheets/d/1xsp01RMmkav9iTy39Zaj_7tE9677EGlOJ14KU9TZn7I/"",""2003-2017!H1893"")"),"#REF!")</f>
        <v>#REF!</v>
      </c>
      <c r="E344" s="63" t="str">
        <f ca="1">IFERROR(__xludf.DUMMYFUNCTION("C338*IMPORTRANGE(""https://docs.google.com/spreadsheets/d/1xsp01RMmkav9iTy39Zaj_7tE9677EGlOJ14KU9TZn7I/"",""2003-2017!T1893"")"),"#REF!")</f>
        <v>#REF!</v>
      </c>
      <c r="F344" s="63" t="str">
        <f ca="1">IFERROR(__xludf.DUMMYFUNCTION("C338*IMPORTRANGE(""https://docs.google.com/spreadsheets/d/1xsp01RMmkav9iTy39Zaj_7tE9677EGlOJ14KU9TZn7I/"",""2003-2017!AC1893"")"),"#REF!")</f>
        <v>#REF!</v>
      </c>
      <c r="G344" s="66" t="s">
        <v>9</v>
      </c>
      <c r="K344" s="9"/>
      <c r="L344" s="2"/>
      <c r="M344" s="11"/>
      <c r="N344" s="11"/>
      <c r="O344" s="11"/>
      <c r="P344" s="11"/>
      <c r="Q344" s="1"/>
    </row>
    <row r="345" spans="1:17" ht="12.5" x14ac:dyDescent="0.25">
      <c r="A345" s="88" t="s">
        <v>320</v>
      </c>
      <c r="B345" s="53">
        <v>9</v>
      </c>
      <c r="C345" s="46">
        <f>32.6/1000</f>
        <v>3.2600000000000004E-2</v>
      </c>
      <c r="D345" s="46" t="str">
        <f ca="1">IFERROR(__xludf.DUMMYFUNCTION("C339*IMPORTRANGE(""https://docs.google.com/spreadsheets/d/1xsp01RMmkav9iTy39Zaj_7tE9677EGlOJ14KU9TZn7I/"",""2003-2017!H1916"")"),"#REF!")</f>
        <v>#REF!</v>
      </c>
      <c r="E345" s="46" t="str">
        <f ca="1">IFERROR(__xludf.DUMMYFUNCTION("C339*IMPORTRANGE(""https://docs.google.com/spreadsheets/d/1xsp01RMmkav9iTy39Zaj_7tE9677EGlOJ14KU9TZn7I/"",""2003-2017!T1916"")"),"#REF!")</f>
        <v>#REF!</v>
      </c>
      <c r="F345" s="46" t="str">
        <f ca="1">IFERROR(__xludf.DUMMYFUNCTION("C339*IMPORTRANGE(""https://docs.google.com/spreadsheets/d/1xsp01RMmkav9iTy39Zaj_7tE9677EGlOJ14KU9TZn7I/"",""2003-2017!AC1916"")"),"#REF!")</f>
        <v>#REF!</v>
      </c>
      <c r="G345" s="49" t="s">
        <v>9</v>
      </c>
      <c r="K345" s="9"/>
      <c r="L345" s="2"/>
      <c r="M345" s="11"/>
      <c r="N345" s="11"/>
      <c r="O345" s="11"/>
      <c r="P345" s="11"/>
      <c r="Q345" s="1"/>
    </row>
    <row r="346" spans="1:17" ht="12.5" x14ac:dyDescent="0.25">
      <c r="A346" s="87" t="s">
        <v>321</v>
      </c>
      <c r="B346" s="69">
        <v>5</v>
      </c>
      <c r="C346" s="63">
        <f>104.7/1000</f>
        <v>0.1047</v>
      </c>
      <c r="D346" s="63" t="str">
        <f ca="1">IFERROR(__xludf.DUMMYFUNCTION("C340*IMPORTRANGE(""https://docs.google.com/spreadsheets/d/1xsp01RMmkav9iTy39Zaj_7tE9677EGlOJ14KU9TZn7I/"",""2003-2017!H1940"")"),"#REF!")</f>
        <v>#REF!</v>
      </c>
      <c r="E346" s="63" t="str">
        <f ca="1">IFERROR(__xludf.DUMMYFUNCTION("C340*IMPORTRANGE(""https://docs.google.com/spreadsheets/d/1xsp01RMmkav9iTy39Zaj_7tE9677EGlOJ14KU9TZn7I/"",""2003-2017!T1940"")"),"#REF!")</f>
        <v>#REF!</v>
      </c>
      <c r="F346" s="63" t="str">
        <f ca="1">IFERROR(__xludf.DUMMYFUNCTION("C340*IMPORTRANGE(""https://docs.google.com/spreadsheets/d/1xsp01RMmkav9iTy39Zaj_7tE9677EGlOJ14KU9TZn7I/"",""2003-2017!AC1940"")"),"#REF!")</f>
        <v>#REF!</v>
      </c>
      <c r="G346" s="66" t="s">
        <v>9</v>
      </c>
      <c r="K346" s="9"/>
      <c r="L346" s="2"/>
      <c r="M346" s="11"/>
      <c r="N346" s="11"/>
      <c r="O346" s="11"/>
      <c r="P346" s="11"/>
      <c r="Q346" s="1"/>
    </row>
    <row r="347" spans="1:17" ht="12.5" x14ac:dyDescent="0.25">
      <c r="A347" s="76">
        <v>2011</v>
      </c>
      <c r="B347" s="60"/>
      <c r="C347" s="60"/>
      <c r="D347" s="75"/>
      <c r="E347" s="75"/>
      <c r="F347" s="75"/>
      <c r="G347" s="77"/>
      <c r="K347" s="9"/>
      <c r="L347" s="2"/>
      <c r="M347" s="11"/>
      <c r="N347" s="11"/>
      <c r="O347" s="11"/>
      <c r="P347" s="11"/>
      <c r="Q347" s="1"/>
    </row>
    <row r="348" spans="1:17" ht="12.5" x14ac:dyDescent="0.25">
      <c r="A348" s="88" t="s">
        <v>322</v>
      </c>
      <c r="B348" s="53">
        <v>4</v>
      </c>
      <c r="C348" s="46">
        <f>3.5/1000</f>
        <v>3.5000000000000001E-3</v>
      </c>
      <c r="D348" s="46" t="str">
        <f ca="1">IFERROR(__xludf.DUMMYFUNCTION("C342*IMPORTRANGE(""https://docs.google.com/spreadsheets/d/1xsp01RMmkav9iTy39Zaj_7tE9677EGlOJ14KU9TZn7I/"",""2003-2017!H1963"")"),"#REF!")</f>
        <v>#REF!</v>
      </c>
      <c r="E348" s="46" t="str">
        <f ca="1">IFERROR(__xludf.DUMMYFUNCTION("C342*IMPORTRANGE(""https://docs.google.com/spreadsheets/d/1xsp01RMmkav9iTy39Zaj_7tE9677EGlOJ14KU9TZn7I/"",""2003-2017!T1963"")"),"#REF!")</f>
        <v>#REF!</v>
      </c>
      <c r="F348" s="46" t="str">
        <f ca="1">IFERROR(__xludf.DUMMYFUNCTION("C342*IMPORTRANGE(""https://docs.google.com/spreadsheets/d/1xsp01RMmkav9iTy39Zaj_7tE9677EGlOJ14KU9TZn7I/"",""2003-2017!AC1963"")"),"#REF!")</f>
        <v>#REF!</v>
      </c>
      <c r="G348" s="49" t="s">
        <v>9</v>
      </c>
      <c r="K348" s="9"/>
      <c r="L348" s="2"/>
      <c r="M348" s="11"/>
      <c r="N348" s="11"/>
      <c r="O348" s="11"/>
      <c r="P348" s="11"/>
      <c r="Q348" s="1"/>
    </row>
    <row r="349" spans="1:17" ht="12.5" x14ac:dyDescent="0.25">
      <c r="A349" s="87" t="s">
        <v>323</v>
      </c>
      <c r="B349" s="69">
        <v>6</v>
      </c>
      <c r="C349" s="63">
        <f>1/1000</f>
        <v>1E-3</v>
      </c>
      <c r="D349" s="63" t="str">
        <f ca="1">IFERROR(__xludf.DUMMYFUNCTION("C343*IMPORTRANGE(""https://docs.google.com/spreadsheets/d/1xsp01RMmkav9iTy39Zaj_7tE9677EGlOJ14KU9TZn7I/"",""2003-2017!H1984"")"),"#REF!")</f>
        <v>#REF!</v>
      </c>
      <c r="E349" s="63" t="str">
        <f ca="1">IFERROR(__xludf.DUMMYFUNCTION("C343*IMPORTRANGE(""https://docs.google.com/spreadsheets/d/1xsp01RMmkav9iTy39Zaj_7tE9677EGlOJ14KU9TZn7I/"",""2003-2017!T1984"")"),"#REF!")</f>
        <v>#REF!</v>
      </c>
      <c r="F349" s="63" t="str">
        <f ca="1">IFERROR(__xludf.DUMMYFUNCTION("C343*IMPORTRANGE(""https://docs.google.com/spreadsheets/d/1xsp01RMmkav9iTy39Zaj_7tE9677EGlOJ14KU9TZn7I/"",""2003-2017!AC1984"")"),"#REF!")</f>
        <v>#REF!</v>
      </c>
      <c r="G349" s="66" t="s">
        <v>9</v>
      </c>
      <c r="K349" s="9"/>
      <c r="L349" s="2"/>
      <c r="M349" s="11"/>
      <c r="N349" s="11"/>
      <c r="O349" s="11"/>
      <c r="P349" s="11"/>
      <c r="Q349" s="1"/>
    </row>
    <row r="350" spans="1:17" ht="12.5" x14ac:dyDescent="0.25">
      <c r="A350" s="88" t="s">
        <v>324</v>
      </c>
      <c r="B350" s="53">
        <v>1</v>
      </c>
      <c r="C350" s="46">
        <f>3.13/1000</f>
        <v>3.13E-3</v>
      </c>
      <c r="D350" s="46" t="str">
        <f ca="1">IFERROR(__xludf.DUMMYFUNCTION("C344*IMPORTRANGE(""https://docs.google.com/spreadsheets/d/1xsp01RMmkav9iTy39Zaj_7tE9677EGlOJ14KU9TZn7I/"",""2003-2017!H2008"")"),"#REF!")</f>
        <v>#REF!</v>
      </c>
      <c r="E350" s="46" t="str">
        <f ca="1">IFERROR(__xludf.DUMMYFUNCTION("C344*IMPORTRANGE(""https://docs.google.com/spreadsheets/d/1xsp01RMmkav9iTy39Zaj_7tE9677EGlOJ14KU9TZn7I/"",""2003-2017!T2008"")"),"#REF!")</f>
        <v>#REF!</v>
      </c>
      <c r="F350" s="46" t="str">
        <f ca="1">IFERROR(__xludf.DUMMYFUNCTION("C344*IMPORTRANGE(""https://docs.google.com/spreadsheets/d/1xsp01RMmkav9iTy39Zaj_7tE9677EGlOJ14KU9TZn7I/"",""2003-2017!AC2008"")"),"#REF!")</f>
        <v>#REF!</v>
      </c>
      <c r="G350" s="49" t="s">
        <v>9</v>
      </c>
      <c r="K350" s="9"/>
      <c r="L350" s="2"/>
      <c r="M350" s="11"/>
      <c r="N350" s="11"/>
      <c r="O350" s="11"/>
      <c r="P350" s="11"/>
      <c r="Q350" s="1"/>
    </row>
    <row r="351" spans="1:17" ht="12.5" x14ac:dyDescent="0.25">
      <c r="A351" s="87" t="s">
        <v>325</v>
      </c>
      <c r="B351" s="69">
        <v>1</v>
      </c>
      <c r="C351" s="63">
        <f>1.8/1000</f>
        <v>1.8E-3</v>
      </c>
      <c r="D351" s="63" t="str">
        <f ca="1">IFERROR(__xludf.DUMMYFUNCTION("C345*IMPORTRANGE(""https://docs.google.com/spreadsheets/d/1xsp01RMmkav9iTy39Zaj_7tE9677EGlOJ14KU9TZn7I/"",""2003-2017!H2030"")"),"#REF!")</f>
        <v>#REF!</v>
      </c>
      <c r="E351" s="63" t="str">
        <f ca="1">IFERROR(__xludf.DUMMYFUNCTION("C345*IMPORTRANGE(""https://docs.google.com/spreadsheets/d/1xsp01RMmkav9iTy39Zaj_7tE9677EGlOJ14KU9TZn7I/"",""2003-2017!T2030"")"),"#REF!")</f>
        <v>#REF!</v>
      </c>
      <c r="F351" s="63" t="str">
        <f ca="1">IFERROR(__xludf.DUMMYFUNCTION("C345*IMPORTRANGE(""https://docs.google.com/spreadsheets/d/1xsp01RMmkav9iTy39Zaj_7tE9677EGlOJ14KU9TZn7I/"",""2003-2017!AC2030"")"),"#REF!")</f>
        <v>#REF!</v>
      </c>
      <c r="G351" s="66" t="s">
        <v>9</v>
      </c>
      <c r="K351" s="9"/>
      <c r="L351" s="2"/>
      <c r="M351" s="11"/>
      <c r="N351" s="11"/>
      <c r="O351" s="11"/>
      <c r="P351" s="11"/>
      <c r="Q351" s="1"/>
    </row>
    <row r="352" spans="1:17" ht="12.5" x14ac:dyDescent="0.25">
      <c r="A352" s="88" t="s">
        <v>326</v>
      </c>
      <c r="B352" s="53">
        <v>3</v>
      </c>
      <c r="C352" s="46">
        <f>531.7/1000</f>
        <v>0.53170000000000006</v>
      </c>
      <c r="D352" s="46" t="str">
        <f ca="1">IFERROR(__xludf.DUMMYFUNCTION("C346*IMPORTRANGE(""https://docs.google.com/spreadsheets/d/1xsp01RMmkav9iTy39Zaj_7tE9677EGlOJ14KU9TZn7I/"",""2003-2017!H2053"")"),"#REF!")</f>
        <v>#REF!</v>
      </c>
      <c r="E352" s="46" t="str">
        <f ca="1">IFERROR(__xludf.DUMMYFUNCTION("C346*IMPORTRANGE(""https://docs.google.com/spreadsheets/d/1xsp01RMmkav9iTy39Zaj_7tE9677EGlOJ14KU9TZn7I/"",""2003-2017!T2053"")"),"#REF!")</f>
        <v>#REF!</v>
      </c>
      <c r="F352" s="46" t="str">
        <f ca="1">IFERROR(__xludf.DUMMYFUNCTION("C346*IMPORTRANGE(""https://docs.google.com/spreadsheets/d/1xsp01RMmkav9iTy39Zaj_7tE9677EGlOJ14KU9TZn7I/"",""2003-2017!AC2053"")"),"#REF!")</f>
        <v>#REF!</v>
      </c>
      <c r="G352" s="49" t="s">
        <v>9</v>
      </c>
      <c r="K352" s="9"/>
      <c r="L352" s="2"/>
      <c r="M352" s="11"/>
      <c r="N352" s="11"/>
      <c r="O352" s="11"/>
      <c r="P352" s="11"/>
      <c r="Q352" s="1"/>
    </row>
    <row r="353" spans="1:17" ht="12.5" x14ac:dyDescent="0.25">
      <c r="A353" s="87" t="s">
        <v>327</v>
      </c>
      <c r="B353" s="69">
        <v>4</v>
      </c>
      <c r="C353" s="63">
        <f>160.2/1000</f>
        <v>0.16019999999999998</v>
      </c>
      <c r="D353" s="63" t="str">
        <f ca="1">IFERROR(__xludf.DUMMYFUNCTION("C347*IMPORTRANGE(""https://docs.google.com/spreadsheets/d/1xsp01RMmkav9iTy39Zaj_7tE9677EGlOJ14KU9TZn7I/"",""2003-2017!H2076"")"),"#REF!")</f>
        <v>#REF!</v>
      </c>
      <c r="E353" s="63" t="str">
        <f ca="1">IFERROR(__xludf.DUMMYFUNCTION("C347*IMPORTRANGE(""https://docs.google.com/spreadsheets/d/1xsp01RMmkav9iTy39Zaj_7tE9677EGlOJ14KU9TZn7I/"",""2003-2017!T2076"")"),"#REF!")</f>
        <v>#REF!</v>
      </c>
      <c r="F353" s="63" t="str">
        <f ca="1">IFERROR(__xludf.DUMMYFUNCTION("C347*IMPORTRANGE(""https://docs.google.com/spreadsheets/d/1xsp01RMmkav9iTy39Zaj_7tE9677EGlOJ14KU9TZn7I/"",""2003-2017!AC2076"")"),"#REF!")</f>
        <v>#REF!</v>
      </c>
      <c r="G353" s="66" t="s">
        <v>9</v>
      </c>
      <c r="K353" s="9"/>
      <c r="L353" s="2"/>
      <c r="M353" s="11"/>
      <c r="N353" s="11"/>
      <c r="O353" s="11"/>
      <c r="P353" s="11"/>
      <c r="Q353" s="1"/>
    </row>
    <row r="354" spans="1:17" ht="12.5" x14ac:dyDescent="0.25">
      <c r="A354" s="88" t="s">
        <v>328</v>
      </c>
      <c r="B354" s="53">
        <v>8</v>
      </c>
      <c r="C354" s="46">
        <f>144.7/1000</f>
        <v>0.1447</v>
      </c>
      <c r="D354" s="46" t="str">
        <f ca="1">IFERROR(__xludf.DUMMYFUNCTION("C348*IMPORTRANGE(""https://docs.google.com/spreadsheets/d/1xsp01RMmkav9iTy39Zaj_7tE9677EGlOJ14KU9TZn7I/"",""2003-2017!H2098"")"),"#REF!")</f>
        <v>#REF!</v>
      </c>
      <c r="E354" s="46" t="str">
        <f ca="1">IFERROR(__xludf.DUMMYFUNCTION("C348*IMPORTRANGE(""https://docs.google.com/spreadsheets/d/1xsp01RMmkav9iTy39Zaj_7tE9677EGlOJ14KU9TZn7I/"",""2003-2017!T2098"")"),"#REF!")</f>
        <v>#REF!</v>
      </c>
      <c r="F354" s="46" t="str">
        <f ca="1">IFERROR(__xludf.DUMMYFUNCTION("C348*IMPORTRANGE(""https://docs.google.com/spreadsheets/d/1xsp01RMmkav9iTy39Zaj_7tE9677EGlOJ14KU9TZn7I/"",""2003-2017!AC2098"")"),"#REF!")</f>
        <v>#REF!</v>
      </c>
      <c r="G354" s="49" t="s">
        <v>9</v>
      </c>
      <c r="K354" s="9"/>
      <c r="L354" s="2"/>
      <c r="M354" s="11"/>
      <c r="N354" s="11"/>
      <c r="O354" s="11"/>
      <c r="P354" s="11"/>
      <c r="Q354" s="1"/>
    </row>
    <row r="355" spans="1:17" ht="12.5" x14ac:dyDescent="0.25">
      <c r="A355" s="87" t="s">
        <v>329</v>
      </c>
      <c r="B355" s="69">
        <v>4</v>
      </c>
      <c r="C355" s="63">
        <f>10.8/1000</f>
        <v>1.0800000000000001E-2</v>
      </c>
      <c r="D355" s="63" t="str">
        <f ca="1">IFERROR(__xludf.DUMMYFUNCTION("C349*IMPORTRANGE(""https://docs.google.com/spreadsheets/d/1xsp01RMmkav9iTy39Zaj_7tE9677EGlOJ14KU9TZn7I/"",""2003-2017!H2122"")"),"#REF!")</f>
        <v>#REF!</v>
      </c>
      <c r="E355" s="63" t="str">
        <f ca="1">IFERROR(__xludf.DUMMYFUNCTION("C349*IMPORTRANGE(""https://docs.google.com/spreadsheets/d/1xsp01RMmkav9iTy39Zaj_7tE9677EGlOJ14KU9TZn7I/"",""2003-2017!T2122"")"),"#REF!")</f>
        <v>#REF!</v>
      </c>
      <c r="F355" s="63" t="str">
        <f ca="1">IFERROR(__xludf.DUMMYFUNCTION("C349*IMPORTRANGE(""https://docs.google.com/spreadsheets/d/1xsp01RMmkav9iTy39Zaj_7tE9677EGlOJ14KU9TZn7I/"",""2003-2017!AC2122"")"),"#REF!")</f>
        <v>#REF!</v>
      </c>
      <c r="G355" s="66" t="s">
        <v>9</v>
      </c>
      <c r="K355" s="9"/>
      <c r="L355" s="2"/>
      <c r="M355" s="11"/>
      <c r="N355" s="11"/>
      <c r="O355" s="11"/>
      <c r="P355" s="11"/>
      <c r="Q355" s="1"/>
    </row>
    <row r="356" spans="1:17" ht="12.5" x14ac:dyDescent="0.25">
      <c r="A356" s="88" t="s">
        <v>330</v>
      </c>
      <c r="B356" s="53">
        <v>2</v>
      </c>
      <c r="C356" s="46">
        <f>3.06/1000</f>
        <v>3.0600000000000002E-3</v>
      </c>
      <c r="D356" s="46" t="str">
        <f ca="1">IFERROR(__xludf.DUMMYFUNCTION("C350*IMPORTRANGE(""https://docs.google.com/spreadsheets/d/1xsp01RMmkav9iTy39Zaj_7tE9677EGlOJ14KU9TZn7I/"",""2003-2017!H2145"")"),"#REF!")</f>
        <v>#REF!</v>
      </c>
      <c r="E356" s="46" t="str">
        <f ca="1">IFERROR(__xludf.DUMMYFUNCTION("C350*IMPORTRANGE(""https://docs.google.com/spreadsheets/d/1xsp01RMmkav9iTy39Zaj_7tE9677EGlOJ14KU9TZn7I/"",""2003-2017!T2145"")"),"#REF!")</f>
        <v>#REF!</v>
      </c>
      <c r="F356" s="46" t="str">
        <f ca="1">IFERROR(__xludf.DUMMYFUNCTION("C350*IMPORTRANGE(""https://docs.google.com/spreadsheets/d/1xsp01RMmkav9iTy39Zaj_7tE9677EGlOJ14KU9TZn7I/"",""2003-2017!AC2145"")"),"#REF!")</f>
        <v>#REF!</v>
      </c>
      <c r="G356" s="49" t="s">
        <v>9</v>
      </c>
      <c r="K356" s="9"/>
      <c r="L356" s="2"/>
      <c r="M356" s="11"/>
      <c r="N356" s="11"/>
      <c r="O356" s="11"/>
      <c r="P356" s="11"/>
      <c r="Q356" s="1"/>
    </row>
    <row r="357" spans="1:17" ht="12.5" x14ac:dyDescent="0.25">
      <c r="A357" s="87" t="s">
        <v>331</v>
      </c>
      <c r="B357" s="69">
        <v>4</v>
      </c>
      <c r="C357" s="63">
        <f>331.7/1000</f>
        <v>0.33169999999999999</v>
      </c>
      <c r="D357" s="63" t="str">
        <f ca="1">IFERROR(__xludf.DUMMYFUNCTION("C351*IMPORTRANGE(""https://docs.google.com/spreadsheets/d/1xsp01RMmkav9iTy39Zaj_7tE9677EGlOJ14KU9TZn7I/"",""2003-2017!H2167"")"),"#REF!")</f>
        <v>#REF!</v>
      </c>
      <c r="E357" s="63" t="str">
        <f ca="1">IFERROR(__xludf.DUMMYFUNCTION("C351*IMPORTRANGE(""https://docs.google.com/spreadsheets/d/1xsp01RMmkav9iTy39Zaj_7tE9677EGlOJ14KU9TZn7I/"",""2003-2017!T2167"")"),"#REF!")</f>
        <v>#REF!</v>
      </c>
      <c r="F357" s="63" t="str">
        <f ca="1">IFERROR(__xludf.DUMMYFUNCTION("C351*IMPORTRANGE(""https://docs.google.com/spreadsheets/d/1xsp01RMmkav9iTy39Zaj_7tE9677EGlOJ14KU9TZn7I/"",""2003-2017!AC2167"")"),"#REF!")</f>
        <v>#REF!</v>
      </c>
      <c r="G357" s="66" t="s">
        <v>9</v>
      </c>
      <c r="K357" s="9"/>
      <c r="L357" s="2"/>
      <c r="M357" s="11"/>
      <c r="N357" s="11"/>
      <c r="O357" s="11"/>
      <c r="P357" s="11"/>
      <c r="Q357" s="1"/>
    </row>
    <row r="358" spans="1:17" ht="12.5" x14ac:dyDescent="0.25">
      <c r="A358" s="88" t="s">
        <v>332</v>
      </c>
      <c r="B358" s="53">
        <v>3</v>
      </c>
      <c r="C358" s="46">
        <f>20.5/1000</f>
        <v>2.0500000000000001E-2</v>
      </c>
      <c r="D358" s="46" t="str">
        <f ca="1">IFERROR(__xludf.DUMMYFUNCTION("C352*IMPORTRANGE(""https://docs.google.com/spreadsheets/d/1xsp01RMmkav9iTy39Zaj_7tE9677EGlOJ14KU9TZn7I/"",""2003-2017!H2190"")"),"#REF!")</f>
        <v>#REF!</v>
      </c>
      <c r="E358" s="46" t="str">
        <f ca="1">IFERROR(__xludf.DUMMYFUNCTION("C352*IMPORTRANGE(""https://docs.google.com/spreadsheets/d/1xsp01RMmkav9iTy39Zaj_7tE9677EGlOJ14KU9TZn7I/"",""2003-2017!T2190"")"),"#REF!")</f>
        <v>#REF!</v>
      </c>
      <c r="F358" s="46" t="str">
        <f ca="1">IFERROR(__xludf.DUMMYFUNCTION("C352*IMPORTRANGE(""https://docs.google.com/spreadsheets/d/1xsp01RMmkav9iTy39Zaj_7tE9677EGlOJ14KU9TZn7I/"",""2003-2017!AC2190"")"),"#REF!")</f>
        <v>#REF!</v>
      </c>
      <c r="G358" s="49" t="s">
        <v>9</v>
      </c>
      <c r="K358" s="9"/>
      <c r="L358" s="2"/>
      <c r="M358" s="11"/>
      <c r="N358" s="11"/>
      <c r="O358" s="11"/>
      <c r="P358" s="11"/>
      <c r="Q358" s="1"/>
    </row>
    <row r="359" spans="1:17" ht="12.5" x14ac:dyDescent="0.25">
      <c r="A359" s="87" t="s">
        <v>333</v>
      </c>
      <c r="B359" s="69">
        <v>4</v>
      </c>
      <c r="C359" s="63">
        <f>200/1000</f>
        <v>0.2</v>
      </c>
      <c r="D359" s="63" t="str">
        <f ca="1">IFERROR(__xludf.DUMMYFUNCTION("C353*IMPORTRANGE(""https://docs.google.com/spreadsheets/d/1xsp01RMmkav9iTy39Zaj_7tE9677EGlOJ14KU9TZn7I/"",""2003-2017!H2213"")"),"#REF!")</f>
        <v>#REF!</v>
      </c>
      <c r="E359" s="63" t="str">
        <f ca="1">IFERROR(__xludf.DUMMYFUNCTION("C353*IMPORTRANGE(""https://docs.google.com/spreadsheets/d/1xsp01RMmkav9iTy39Zaj_7tE9677EGlOJ14KU9TZn7I/"",""2003-2017!T2213"")"),"#REF!")</f>
        <v>#REF!</v>
      </c>
      <c r="F359" s="63" t="str">
        <f ca="1">IFERROR(__xludf.DUMMYFUNCTION("C353*IMPORTRANGE(""https://docs.google.com/spreadsheets/d/1xsp01RMmkav9iTy39Zaj_7tE9677EGlOJ14KU9TZn7I/"",""2003-2017!AC2213"")"),"#REF!")</f>
        <v>#REF!</v>
      </c>
      <c r="G359" s="66" t="s">
        <v>9</v>
      </c>
      <c r="K359" s="9"/>
      <c r="L359" s="2"/>
      <c r="M359" s="11"/>
      <c r="N359" s="11"/>
      <c r="O359" s="11"/>
      <c r="P359" s="11"/>
      <c r="Q359" s="1"/>
    </row>
    <row r="360" spans="1:17" ht="12.5" x14ac:dyDescent="0.25">
      <c r="A360" s="76">
        <v>2012</v>
      </c>
      <c r="B360" s="60"/>
      <c r="C360" s="75"/>
      <c r="D360" s="75"/>
      <c r="E360" s="75"/>
      <c r="F360" s="75"/>
      <c r="G360" s="77"/>
      <c r="K360" s="9"/>
      <c r="L360" s="2"/>
      <c r="M360" s="11"/>
      <c r="N360" s="11"/>
      <c r="O360" s="11"/>
      <c r="P360" s="11"/>
      <c r="Q360" s="1"/>
    </row>
    <row r="361" spans="1:17" ht="12.5" x14ac:dyDescent="0.25">
      <c r="A361" s="88" t="s">
        <v>334</v>
      </c>
      <c r="B361" s="53">
        <v>3</v>
      </c>
      <c r="C361" s="46">
        <f>25.4/1000</f>
        <v>2.5399999999999999E-2</v>
      </c>
      <c r="D361" s="46" t="str">
        <f ca="1">IFERROR(__xludf.DUMMYFUNCTION("C355*IMPORTRANGE(""https://docs.google.com/spreadsheets/d/1xsp01RMmkav9iTy39Zaj_7tE9677EGlOJ14KU9TZn7I/"",""2003-2017!H2237"")"),"#REF!")</f>
        <v>#REF!</v>
      </c>
      <c r="E361" s="46" t="str">
        <f ca="1">IFERROR(__xludf.DUMMYFUNCTION("C355*IMPORTRANGE(""https://docs.google.com/spreadsheets/d/1xsp01RMmkav9iTy39Zaj_7tE9677EGlOJ14KU9TZn7I/"",""2003-2017!T2237"")"),"#REF!")</f>
        <v>#REF!</v>
      </c>
      <c r="F361" s="46" t="str">
        <f ca="1">IFERROR(__xludf.DUMMYFUNCTION("C355*IMPORTRANGE(""https://docs.google.com/spreadsheets/d/1xsp01RMmkav9iTy39Zaj_7tE9677EGlOJ14KU9TZn7I/"",""2003-2017!AC2237"")"),"#REF!")</f>
        <v>#REF!</v>
      </c>
      <c r="G361" s="49" t="s">
        <v>9</v>
      </c>
      <c r="K361" s="9"/>
      <c r="L361" s="2"/>
      <c r="M361" s="11"/>
      <c r="N361" s="11"/>
      <c r="O361" s="11"/>
      <c r="P361" s="11"/>
      <c r="Q361" s="1"/>
    </row>
    <row r="362" spans="1:17" ht="12.5" x14ac:dyDescent="0.25">
      <c r="A362" s="87" t="s">
        <v>335</v>
      </c>
      <c r="B362" s="69">
        <v>2</v>
      </c>
      <c r="C362" s="63">
        <f>0.964/1000</f>
        <v>9.6400000000000001E-4</v>
      </c>
      <c r="D362" s="63" t="str">
        <f ca="1">IFERROR(__xludf.DUMMYFUNCTION("C356*IMPORTRANGE(""https://docs.google.com/spreadsheets/d/1xsp01RMmkav9iTy39Zaj_7tE9677EGlOJ14KU9TZn7I/"",""2003-2017!H2259"")"),"#REF!")</f>
        <v>#REF!</v>
      </c>
      <c r="E362" s="63" t="str">
        <f ca="1">IFERROR(__xludf.DUMMYFUNCTION("C356*IMPORTRANGE(""https://docs.google.com/spreadsheets/d/1xsp01RMmkav9iTy39Zaj_7tE9677EGlOJ14KU9TZn7I/"",""2003-2017!T2259"")"),"#REF!")</f>
        <v>#REF!</v>
      </c>
      <c r="F362" s="63" t="str">
        <f ca="1">IFERROR(__xludf.DUMMYFUNCTION("C356*IMPORTRANGE(""https://docs.google.com/spreadsheets/d/1xsp01RMmkav9iTy39Zaj_7tE9677EGlOJ14KU9TZn7I/"",""2003-2017!AC2259"")"),"#REF!")</f>
        <v>#REF!</v>
      </c>
      <c r="G362" s="66" t="s">
        <v>9</v>
      </c>
      <c r="K362" s="9"/>
      <c r="L362" s="2"/>
      <c r="M362" s="11"/>
      <c r="N362" s="11"/>
      <c r="O362" s="11"/>
      <c r="P362" s="11"/>
      <c r="Q362" s="1"/>
    </row>
    <row r="363" spans="1:17" ht="12.5" x14ac:dyDescent="0.25">
      <c r="A363" s="88" t="s">
        <v>336</v>
      </c>
      <c r="B363" s="53">
        <v>2</v>
      </c>
      <c r="C363" s="46">
        <f>331.7/1000</f>
        <v>0.33169999999999999</v>
      </c>
      <c r="D363" s="46" t="str">
        <f ca="1">IFERROR(__xludf.DUMMYFUNCTION("C357*IMPORTRANGE(""https://docs.google.com/spreadsheets/d/1xsp01RMmkav9iTy39Zaj_7tE9677EGlOJ14KU9TZn7I/"",""2003-2017!H2282"")"),"#REF!")</f>
        <v>#REF!</v>
      </c>
      <c r="E363" s="46" t="str">
        <f ca="1">IFERROR(__xludf.DUMMYFUNCTION("C357*IMPORTRANGE(""https://docs.google.com/spreadsheets/d/1xsp01RMmkav9iTy39Zaj_7tE9677EGlOJ14KU9TZn7I/"",""2003-2017!T2282"")"),"#REF!")</f>
        <v>#REF!</v>
      </c>
      <c r="F363" s="46" t="str">
        <f ca="1">IFERROR(__xludf.DUMMYFUNCTION("C357*IMPORTRANGE(""https://docs.google.com/spreadsheets/d/1xsp01RMmkav9iTy39Zaj_7tE9677EGlOJ14KU9TZn7I/"",""2003-2017!AC2282"")"),"#REF!")</f>
        <v>#REF!</v>
      </c>
      <c r="G363" s="49" t="s">
        <v>9</v>
      </c>
      <c r="K363" s="9"/>
      <c r="L363" s="2"/>
      <c r="M363" s="11"/>
      <c r="N363" s="11"/>
      <c r="O363" s="11"/>
      <c r="P363" s="11"/>
      <c r="Q363" s="1"/>
    </row>
    <row r="364" spans="1:17" ht="12.5" x14ac:dyDescent="0.25">
      <c r="A364" s="87" t="s">
        <v>337</v>
      </c>
      <c r="B364" s="69">
        <v>0</v>
      </c>
      <c r="C364" s="63">
        <v>0</v>
      </c>
      <c r="D364" s="63" t="str">
        <f ca="1">IFERROR(__xludf.DUMMYFUNCTION("C358*IMPORTRANGE(""https://docs.google.com/spreadsheets/d/1xsp01RMmkav9iTy39Zaj_7tE9677EGlOJ14KU9TZn7I/"",""2003-2017!H2304"")"),"#REF!")</f>
        <v>#REF!</v>
      </c>
      <c r="E364" s="63" t="str">
        <f ca="1">IFERROR(__xludf.DUMMYFUNCTION("C358*IMPORTRANGE(""https://docs.google.com/spreadsheets/d/1xsp01RMmkav9iTy39Zaj_7tE9677EGlOJ14KU9TZn7I/"",""2003-2017!T2304"")"),"#REF!")</f>
        <v>#REF!</v>
      </c>
      <c r="F364" s="63" t="str">
        <f ca="1">IFERROR(__xludf.DUMMYFUNCTION("C358*IMPORTRANGE(""https://docs.google.com/spreadsheets/d/1xsp01RMmkav9iTy39Zaj_7tE9677EGlOJ14KU9TZn7I/"",""2003-2017!AC2304"")"),"#REF!")</f>
        <v>#REF!</v>
      </c>
      <c r="G364" s="66" t="s">
        <v>9</v>
      </c>
      <c r="K364" s="9"/>
      <c r="L364" s="2"/>
      <c r="M364" s="11"/>
      <c r="N364" s="11"/>
      <c r="O364" s="11"/>
      <c r="P364" s="11"/>
      <c r="Q364" s="1"/>
    </row>
    <row r="365" spans="1:17" ht="12.5" x14ac:dyDescent="0.25">
      <c r="A365" s="88" t="s">
        <v>338</v>
      </c>
      <c r="B365" s="53">
        <v>3</v>
      </c>
      <c r="C365" s="46">
        <f>26.6/1000</f>
        <v>2.6600000000000002E-2</v>
      </c>
      <c r="D365" s="46" t="str">
        <f ca="1">IFERROR(__xludf.DUMMYFUNCTION("C359*IMPORTRANGE(""https://docs.google.com/spreadsheets/d/1xsp01RMmkav9iTy39Zaj_7tE9677EGlOJ14KU9TZn7I/"",""2003-2017!H2328"")"),"#REF!")</f>
        <v>#REF!</v>
      </c>
      <c r="E365" s="46" t="str">
        <f ca="1">IFERROR(__xludf.DUMMYFUNCTION("C359*IMPORTRANGE(""https://docs.google.com/spreadsheets/d/1xsp01RMmkav9iTy39Zaj_7tE9677EGlOJ14KU9TZn7I/"",""2003-2017!T2328"")"),"#REF!")</f>
        <v>#REF!</v>
      </c>
      <c r="F365" s="46" t="str">
        <f ca="1">IFERROR(__xludf.DUMMYFUNCTION("C359*IMPORTRANGE(""https://docs.google.com/spreadsheets/d/1xsp01RMmkav9iTy39Zaj_7tE9677EGlOJ14KU9TZn7I/"",""2003-2017!AC2328"")"),"#REF!")</f>
        <v>#REF!</v>
      </c>
      <c r="G365" s="49" t="s">
        <v>9</v>
      </c>
      <c r="K365" s="9"/>
      <c r="L365" s="2"/>
      <c r="M365" s="11"/>
      <c r="N365" s="11"/>
      <c r="O365" s="11"/>
      <c r="P365" s="11"/>
      <c r="Q365" s="1"/>
    </row>
    <row r="366" spans="1:17" ht="12.5" x14ac:dyDescent="0.25">
      <c r="A366" s="87" t="s">
        <v>339</v>
      </c>
      <c r="B366" s="69">
        <v>0</v>
      </c>
      <c r="C366" s="63">
        <v>0</v>
      </c>
      <c r="D366" s="63" t="str">
        <f ca="1">IFERROR(__xludf.DUMMYFUNCTION("C360*IMPORTRANGE(""https://docs.google.com/spreadsheets/d/1xsp01RMmkav9iTy39Zaj_7tE9677EGlOJ14KU9TZn7I/"",""2003-2017!H2350"")"),"#REF!")</f>
        <v>#REF!</v>
      </c>
      <c r="E366" s="63" t="str">
        <f ca="1">IFERROR(__xludf.DUMMYFUNCTION("C360*IMPORTRANGE(""https://docs.google.com/spreadsheets/d/1xsp01RMmkav9iTy39Zaj_7tE9677EGlOJ14KU9TZn7I/"",""2003-2017!T2350"")"),"#REF!")</f>
        <v>#REF!</v>
      </c>
      <c r="F366" s="63" t="str">
        <f ca="1">IFERROR(__xludf.DUMMYFUNCTION("C360*IMPORTRANGE(""https://docs.google.com/spreadsheets/d/1xsp01RMmkav9iTy39Zaj_7tE9677EGlOJ14KU9TZn7I/"",""2003-2017!AC2350"")"),"#REF!")</f>
        <v>#REF!</v>
      </c>
      <c r="G366" s="66" t="s">
        <v>9</v>
      </c>
      <c r="K366" s="9"/>
      <c r="L366" s="2"/>
      <c r="M366" s="11"/>
      <c r="N366" s="11"/>
      <c r="O366" s="11"/>
      <c r="P366" s="11"/>
      <c r="Q366" s="1"/>
    </row>
    <row r="367" spans="1:17" ht="12.5" x14ac:dyDescent="0.25">
      <c r="A367" s="88" t="s">
        <v>340</v>
      </c>
      <c r="B367" s="53">
        <v>3</v>
      </c>
      <c r="C367" s="46">
        <f>1341.5/1000</f>
        <v>1.3414999999999999</v>
      </c>
      <c r="D367" s="46" t="str">
        <f ca="1">IFERROR(__xludf.DUMMYFUNCTION("C361*IMPORTRANGE(""https://docs.google.com/spreadsheets/d/1xsp01RMmkav9iTy39Zaj_7tE9677EGlOJ14KU9TZn7I/"",""2003-2017!H2373"")"),"#REF!")</f>
        <v>#REF!</v>
      </c>
      <c r="E367" s="46" t="str">
        <f ca="1">IFERROR(__xludf.DUMMYFUNCTION("C361*IMPORTRANGE(""https://docs.google.com/spreadsheets/d/1xsp01RMmkav9iTy39Zaj_7tE9677EGlOJ14KU9TZn7I/"",""2003-2017!T2373"")"),"#REF!")</f>
        <v>#REF!</v>
      </c>
      <c r="F367" s="46" t="str">
        <f ca="1">IFERROR(__xludf.DUMMYFUNCTION("C361*IMPORTRANGE(""https://docs.google.com/spreadsheets/d/1xsp01RMmkav9iTy39Zaj_7tE9677EGlOJ14KU9TZn7I/"",""2003-2017!AC2373"")"),"#REF!")</f>
        <v>#REF!</v>
      </c>
      <c r="G367" s="49" t="s">
        <v>9</v>
      </c>
      <c r="K367" s="9"/>
      <c r="L367" s="2"/>
      <c r="M367" s="11"/>
      <c r="N367" s="11"/>
      <c r="O367" s="11"/>
      <c r="P367" s="11"/>
      <c r="Q367" s="1"/>
    </row>
    <row r="368" spans="1:17" ht="12.5" x14ac:dyDescent="0.25">
      <c r="A368" s="87" t="s">
        <v>341</v>
      </c>
      <c r="B368" s="69">
        <v>3</v>
      </c>
      <c r="C368" s="63">
        <f>4.95/1000</f>
        <v>4.9500000000000004E-3</v>
      </c>
      <c r="D368" s="63" t="str">
        <f ca="1">IFERROR(__xludf.DUMMYFUNCTION("C362*IMPORTRANGE(""https://docs.google.com/spreadsheets/d/1xsp01RMmkav9iTy39Zaj_7tE9677EGlOJ14KU9TZn7I/"",""2003-2017!H2397"")"),"#REF!")</f>
        <v>#REF!</v>
      </c>
      <c r="E368" s="63" t="str">
        <f ca="1">IFERROR(__xludf.DUMMYFUNCTION("C362*IMPORTRANGE(""https://docs.google.com/spreadsheets/d/1xsp01RMmkav9iTy39Zaj_7tE9677EGlOJ14KU9TZn7I/"",""2003-2017!T2397"")"),"#REF!")</f>
        <v>#REF!</v>
      </c>
      <c r="F368" s="63" t="str">
        <f ca="1">IFERROR(__xludf.DUMMYFUNCTION("C362*IMPORTRANGE(""https://docs.google.com/spreadsheets/d/1xsp01RMmkav9iTy39Zaj_7tE9677EGlOJ14KU9TZn7I/"",""2003-2017!AC2397"")"),"#REF!")</f>
        <v>#REF!</v>
      </c>
      <c r="G368" s="66" t="s">
        <v>9</v>
      </c>
      <c r="K368" s="9"/>
      <c r="L368" s="2"/>
      <c r="M368" s="11"/>
      <c r="N368" s="11"/>
      <c r="O368" s="11"/>
      <c r="P368" s="11"/>
      <c r="Q368" s="1"/>
    </row>
    <row r="369" spans="1:17" ht="12.5" x14ac:dyDescent="0.25">
      <c r="A369" s="88" t="s">
        <v>342</v>
      </c>
      <c r="B369" s="53">
        <v>6</v>
      </c>
      <c r="C369" s="46">
        <f>345.9/1000</f>
        <v>0.34589999999999999</v>
      </c>
      <c r="D369" s="46" t="str">
        <f ca="1">IFERROR(__xludf.DUMMYFUNCTION("C363*IMPORTRANGE(""https://docs.google.com/spreadsheets/d/1xsp01RMmkav9iTy39Zaj_7tE9677EGlOJ14KU9TZn7I/"",""2003-2017!H2418"")"),"#REF!")</f>
        <v>#REF!</v>
      </c>
      <c r="E369" s="46" t="str">
        <f ca="1">IFERROR(__xludf.DUMMYFUNCTION("C363*IMPORTRANGE(""https://docs.google.com/spreadsheets/d/1xsp01RMmkav9iTy39Zaj_7tE9677EGlOJ14KU9TZn7I/"",""2003-2017!T2418"")"),"#REF!")</f>
        <v>#REF!</v>
      </c>
      <c r="F369" s="46" t="str">
        <f ca="1">IFERROR(__xludf.DUMMYFUNCTION("C363*IMPORTRANGE(""https://docs.google.com/spreadsheets/d/1xsp01RMmkav9iTy39Zaj_7tE9677EGlOJ14KU9TZn7I/"",""2003-2017!AC2418"")"),"#REF!")</f>
        <v>#REF!</v>
      </c>
      <c r="G369" s="49" t="s">
        <v>9</v>
      </c>
      <c r="K369" s="9"/>
      <c r="L369" s="2"/>
      <c r="M369" s="11"/>
      <c r="N369" s="11"/>
      <c r="O369" s="11"/>
      <c r="P369" s="11"/>
      <c r="Q369" s="1"/>
    </row>
    <row r="370" spans="1:17" ht="12.5" x14ac:dyDescent="0.25">
      <c r="A370" s="87" t="s">
        <v>343</v>
      </c>
      <c r="B370" s="69">
        <v>5</v>
      </c>
      <c r="C370" s="63">
        <f>270/1000</f>
        <v>0.27</v>
      </c>
      <c r="D370" s="63" t="str">
        <f ca="1">IFERROR(__xludf.DUMMYFUNCTION("C364*IMPORTRANGE(""https://docs.google.com/spreadsheets/d/1xsp01RMmkav9iTy39Zaj_7tE9677EGlOJ14KU9TZn7I/"",""2003-2017!H2442"")"),"#REF!")</f>
        <v>#REF!</v>
      </c>
      <c r="E370" s="63" t="str">
        <f ca="1">IFERROR(__xludf.DUMMYFUNCTION("C364*IMPORTRANGE(""https://docs.google.com/spreadsheets/d/1xsp01RMmkav9iTy39Zaj_7tE9677EGlOJ14KU9TZn7I/"",""2003-2017!T2442"")"),"#REF!")</f>
        <v>#REF!</v>
      </c>
      <c r="F370" s="63" t="str">
        <f ca="1">IFERROR(__xludf.DUMMYFUNCTION("C364*IMPORTRANGE(""https://docs.google.com/spreadsheets/d/1xsp01RMmkav9iTy39Zaj_7tE9677EGlOJ14KU9TZn7I/"",""2003-2017!AC2442"")"),"#REF!")</f>
        <v>#REF!</v>
      </c>
      <c r="G370" s="66" t="s">
        <v>9</v>
      </c>
      <c r="K370" s="9"/>
      <c r="L370" s="2"/>
      <c r="M370" s="11"/>
      <c r="N370" s="11"/>
      <c r="O370" s="11"/>
      <c r="P370" s="11"/>
      <c r="Q370" s="1"/>
    </row>
    <row r="371" spans="1:17" ht="12.5" x14ac:dyDescent="0.25">
      <c r="A371" s="88" t="s">
        <v>344</v>
      </c>
      <c r="B371" s="53">
        <v>2</v>
      </c>
      <c r="C371" s="46">
        <f>2647/1000</f>
        <v>2.6469999999999998</v>
      </c>
      <c r="D371" s="46" t="str">
        <f ca="1">IFERROR(__xludf.DUMMYFUNCTION("C365*IMPORTRANGE(""https://docs.google.com/spreadsheets/d/1xsp01RMmkav9iTy39Zaj_7tE9677EGlOJ14KU9TZn7I/"",""2003-2017!H2465"")"),"#REF!")</f>
        <v>#REF!</v>
      </c>
      <c r="E371" s="46" t="str">
        <f ca="1">IFERROR(__xludf.DUMMYFUNCTION("C365*IMPORTRANGE(""https://docs.google.com/spreadsheets/d/1xsp01RMmkav9iTy39Zaj_7tE9677EGlOJ14KU9TZn7I/"",""2003-2017!T2465"")"),"#REF!")</f>
        <v>#REF!</v>
      </c>
      <c r="F371" s="46" t="str">
        <f ca="1">IFERROR(__xludf.DUMMYFUNCTION("C365*IMPORTRANGE(""https://docs.google.com/spreadsheets/d/1xsp01RMmkav9iTy39Zaj_7tE9677EGlOJ14KU9TZn7I/"",""2003-2017!AC2465"")"),"#REF!")</f>
        <v>#REF!</v>
      </c>
      <c r="G371" s="49" t="s">
        <v>9</v>
      </c>
      <c r="K371" s="9"/>
      <c r="L371" s="2"/>
      <c r="M371" s="11"/>
      <c r="N371" s="11"/>
      <c r="O371" s="11"/>
      <c r="P371" s="11"/>
      <c r="Q371" s="1"/>
    </row>
    <row r="372" spans="1:17" ht="12.5" x14ac:dyDescent="0.25">
      <c r="A372" s="87" t="s">
        <v>345</v>
      </c>
      <c r="B372" s="69">
        <v>4</v>
      </c>
      <c r="C372" s="63">
        <f>0.562/1000</f>
        <v>5.6200000000000011E-4</v>
      </c>
      <c r="D372" s="63" t="str">
        <f ca="1">IFERROR(__xludf.DUMMYFUNCTION("C366*IMPORTRANGE(""https://docs.google.com/spreadsheets/d/1xsp01RMmkav9iTy39Zaj_7tE9677EGlOJ14KU9TZn7I/"",""2003-2017!H2487"")"),"#REF!")</f>
        <v>#REF!</v>
      </c>
      <c r="E372" s="63" t="str">
        <f ca="1">IFERROR(__xludf.DUMMYFUNCTION("C366*IMPORTRANGE(""https://docs.google.com/spreadsheets/d/1xsp01RMmkav9iTy39Zaj_7tE9677EGlOJ14KU9TZn7I/"",""2003-2017!T2487"")"),"#REF!")</f>
        <v>#REF!</v>
      </c>
      <c r="F372" s="63" t="str">
        <f ca="1">IFERROR(__xludf.DUMMYFUNCTION("C366*IMPORTRANGE(""https://docs.google.com/spreadsheets/d/1xsp01RMmkav9iTy39Zaj_7tE9677EGlOJ14KU9TZn7I/"",""2003-2017!AC2487"")"),"#REF!")</f>
        <v>#REF!</v>
      </c>
      <c r="G372" s="66" t="s">
        <v>9</v>
      </c>
      <c r="K372" s="9"/>
      <c r="L372" s="2"/>
      <c r="M372" s="11"/>
      <c r="N372" s="11"/>
      <c r="O372" s="11"/>
      <c r="P372" s="11"/>
      <c r="Q372" s="1"/>
    </row>
    <row r="373" spans="1:17" ht="12.5" x14ac:dyDescent="0.25">
      <c r="A373" s="76">
        <v>2013</v>
      </c>
      <c r="B373" s="60"/>
      <c r="C373" s="75"/>
      <c r="D373" s="75"/>
      <c r="E373" s="75"/>
      <c r="F373" s="75"/>
      <c r="G373" s="77"/>
      <c r="K373" s="9"/>
      <c r="L373" s="2"/>
      <c r="M373" s="11"/>
      <c r="N373" s="11"/>
      <c r="O373" s="11"/>
      <c r="P373" s="11"/>
      <c r="Q373" s="1"/>
    </row>
    <row r="374" spans="1:17" ht="12.5" x14ac:dyDescent="0.25">
      <c r="A374" s="88" t="s">
        <v>346</v>
      </c>
      <c r="B374" s="53">
        <v>5</v>
      </c>
      <c r="C374" s="46">
        <f>4.49/1000</f>
        <v>4.4900000000000001E-3</v>
      </c>
      <c r="D374" s="46" t="str">
        <f ca="1">IFERROR(__xludf.DUMMYFUNCTION("C368*IMPORTRANGE(""https://docs.google.com/spreadsheets/d/1xsp01RMmkav9iTy39Zaj_7tE9677EGlOJ14KU9TZn7I/"",""2003-2017!H2512"")"),"#REF!")</f>
        <v>#REF!</v>
      </c>
      <c r="E374" s="46" t="str">
        <f ca="1">IFERROR(__xludf.DUMMYFUNCTION("C368*IMPORTRANGE(""https://docs.google.com/spreadsheets/d/1xsp01RMmkav9iTy39Zaj_7tE9677EGlOJ14KU9TZn7I/"",""2003-2017!T2512"")"),"#REF!")</f>
        <v>#REF!</v>
      </c>
      <c r="F374" s="46" t="str">
        <f ca="1">IFERROR(__xludf.DUMMYFUNCTION("C368*IMPORTRANGE(""https://docs.google.com/spreadsheets/d/1xsp01RMmkav9iTy39Zaj_7tE9677EGlOJ14KU9TZn7I/"",""2003-2017!AC2512"")"),"#REF!")</f>
        <v>#REF!</v>
      </c>
      <c r="G374" s="49" t="s">
        <v>9</v>
      </c>
      <c r="K374" s="9"/>
      <c r="L374" s="2"/>
      <c r="M374" s="11"/>
      <c r="N374" s="11"/>
      <c r="O374" s="11"/>
      <c r="P374" s="11"/>
      <c r="Q374" s="1"/>
    </row>
    <row r="375" spans="1:17" ht="12.5" x14ac:dyDescent="0.25">
      <c r="A375" s="87" t="s">
        <v>347</v>
      </c>
      <c r="B375" s="69">
        <v>1</v>
      </c>
      <c r="C375" s="63">
        <f>0.42/1000</f>
        <v>4.1999999999999996E-4</v>
      </c>
      <c r="D375" s="63" t="str">
        <f ca="1">IFERROR(__xludf.DUMMYFUNCTION("C369*IMPORTRANGE(""https://docs.google.com/spreadsheets/d/1xsp01RMmkav9iTy39Zaj_7tE9677EGlOJ14KU9TZn7I/"",""2003-2017!H2533"")"),"#REF!")</f>
        <v>#REF!</v>
      </c>
      <c r="E375" s="63" t="str">
        <f ca="1">IFERROR(__xludf.DUMMYFUNCTION("C369*IMPORTRANGE(""https://docs.google.com/spreadsheets/d/1xsp01RMmkav9iTy39Zaj_7tE9677EGlOJ14KU9TZn7I/"",""2003-2017!T2533"")"),"#REF!")</f>
        <v>#REF!</v>
      </c>
      <c r="F375" s="63" t="str">
        <f ca="1">IFERROR(__xludf.DUMMYFUNCTION("C369*IMPORTRANGE(""https://docs.google.com/spreadsheets/d/1xsp01RMmkav9iTy39Zaj_7tE9677EGlOJ14KU9TZn7I/"",""2003-2017!AC2533"")"),"#REF!")</f>
        <v>#REF!</v>
      </c>
      <c r="G375" s="66" t="s">
        <v>9</v>
      </c>
      <c r="K375" s="9"/>
      <c r="L375" s="2"/>
      <c r="M375" s="11"/>
      <c r="N375" s="11"/>
      <c r="O375" s="11"/>
      <c r="P375" s="11"/>
      <c r="Q375" s="1"/>
    </row>
    <row r="376" spans="1:17" ht="12.5" x14ac:dyDescent="0.25">
      <c r="A376" s="88" t="s">
        <v>348</v>
      </c>
      <c r="B376" s="53">
        <v>1</v>
      </c>
      <c r="C376" s="46">
        <f>4.82/1000</f>
        <v>4.8200000000000005E-3</v>
      </c>
      <c r="D376" s="46" t="str">
        <f ca="1">IFERROR(__xludf.DUMMYFUNCTION("C370*IMPORTRANGE(""https://docs.google.com/spreadsheets/d/1xsp01RMmkav9iTy39Zaj_7tE9677EGlOJ14KU9TZn7I/"",""2003-2017!H2555"")"),"#REF!")</f>
        <v>#REF!</v>
      </c>
      <c r="E376" s="46" t="str">
        <f ca="1">IFERROR(__xludf.DUMMYFUNCTION("C370*IMPORTRANGE(""https://docs.google.com/spreadsheets/d/1xsp01RMmkav9iTy39Zaj_7tE9677EGlOJ14KU9TZn7I/"",""2003-2017!T2555"")"),"#REF!")</f>
        <v>#REF!</v>
      </c>
      <c r="F376" s="46" t="str">
        <f ca="1">IFERROR(__xludf.DUMMYFUNCTION("C370*IMPORTRANGE(""https://docs.google.com/spreadsheets/d/1xsp01RMmkav9iTy39Zaj_7tE9677EGlOJ14KU9TZn7I/"",""2003-2017!AC2555"")"),"#REF!")</f>
        <v>#REF!</v>
      </c>
      <c r="G376" s="49" t="s">
        <v>9</v>
      </c>
      <c r="K376" s="9"/>
      <c r="L376" s="2"/>
      <c r="M376" s="11"/>
      <c r="N376" s="11"/>
      <c r="O376" s="11"/>
      <c r="P376" s="11"/>
      <c r="Q376" s="1"/>
    </row>
    <row r="377" spans="1:17" ht="12.5" x14ac:dyDescent="0.25">
      <c r="A377" s="87" t="s">
        <v>349</v>
      </c>
      <c r="B377" s="69">
        <v>7</v>
      </c>
      <c r="C377" s="63">
        <f>15.2/1000</f>
        <v>1.52E-2</v>
      </c>
      <c r="D377" s="63" t="str">
        <f ca="1">IFERROR(__xludf.DUMMYFUNCTION("C371*IMPORTRANGE(""https://docs.google.com/spreadsheets/d/1xsp01RMmkav9iTy39Zaj_7tE9677EGlOJ14KU9TZn7I/"",""2003-2017!H2578"")"),"#REF!")</f>
        <v>#REF!</v>
      </c>
      <c r="E377" s="63" t="str">
        <f ca="1">IFERROR(__xludf.DUMMYFUNCTION("C371*IMPORTRANGE(""https://docs.google.com/spreadsheets/d/1xsp01RMmkav9iTy39Zaj_7tE9677EGlOJ14KU9TZn7I/"",""2003-2017!T2578"")"),"#REF!")</f>
        <v>#REF!</v>
      </c>
      <c r="F377" s="63" t="str">
        <f ca="1">IFERROR(__xludf.DUMMYFUNCTION("C371*IMPORTRANGE(""https://docs.google.com/spreadsheets/d/1xsp01RMmkav9iTy39Zaj_7tE9677EGlOJ14KU9TZn7I/"",""2003-2017!AC2578"")"),"#REF!")</f>
        <v>#REF!</v>
      </c>
      <c r="G377" s="66" t="s">
        <v>9</v>
      </c>
      <c r="K377" s="9"/>
      <c r="L377" s="2"/>
      <c r="M377" s="11"/>
      <c r="N377" s="11"/>
      <c r="O377" s="11"/>
      <c r="P377" s="11"/>
      <c r="Q377" s="1"/>
    </row>
    <row r="378" spans="1:17" ht="12.5" x14ac:dyDescent="0.25">
      <c r="A378" s="88" t="s">
        <v>350</v>
      </c>
      <c r="B378" s="53">
        <v>9</v>
      </c>
      <c r="C378" s="46">
        <f>88.5/1000</f>
        <v>8.8499999999999995E-2</v>
      </c>
      <c r="D378" s="46" t="str">
        <f ca="1">IFERROR(__xludf.DUMMYFUNCTION("C372*IMPORTRANGE(""https://docs.google.com/spreadsheets/d/1xsp01RMmkav9iTy39Zaj_7tE9677EGlOJ14KU9TZn7I/"",""2003-2017!H2602"")"),"#REF!")</f>
        <v>#REF!</v>
      </c>
      <c r="E378" s="46" t="str">
        <f ca="1">IFERROR(__xludf.DUMMYFUNCTION("C372*IMPORTRANGE(""https://docs.google.com/spreadsheets/d/1xsp01RMmkav9iTy39Zaj_7tE9677EGlOJ14KU9TZn7I/"",""2003-2017!T2602"")"),"#REF!")</f>
        <v>#REF!</v>
      </c>
      <c r="F378" s="46" t="str">
        <f ca="1">IFERROR(__xludf.DUMMYFUNCTION("C372*IMPORTRANGE(""https://docs.google.com/spreadsheets/d/1xsp01RMmkav9iTy39Zaj_7tE9677EGlOJ14KU9TZn7I/"",""2003-2017!AC2602"")"),"#REF!")</f>
        <v>#REF!</v>
      </c>
      <c r="G378" s="49" t="s">
        <v>9</v>
      </c>
      <c r="K378" s="9"/>
      <c r="L378" s="2"/>
      <c r="M378" s="11"/>
      <c r="N378" s="11"/>
      <c r="O378" s="11"/>
      <c r="P378" s="11"/>
      <c r="Q378" s="1"/>
    </row>
    <row r="379" spans="1:17" ht="12.5" x14ac:dyDescent="0.25">
      <c r="A379" s="87" t="s">
        <v>351</v>
      </c>
      <c r="B379" s="69">
        <v>3</v>
      </c>
      <c r="C379" s="63">
        <f>174.8/1000</f>
        <v>0.17480000000000001</v>
      </c>
      <c r="D379" s="63" t="str">
        <f ca="1">IFERROR(__xludf.DUMMYFUNCTION("C373*IMPORTRANGE(""https://docs.google.com/spreadsheets/d/1xsp01RMmkav9iTy39Zaj_7tE9677EGlOJ14KU9TZn7I/"",""2003-2017!H2623"")"),"#REF!")</f>
        <v>#REF!</v>
      </c>
      <c r="E379" s="63" t="str">
        <f ca="1">IFERROR(__xludf.DUMMYFUNCTION("C373*IMPORTRANGE(""https://docs.google.com/spreadsheets/d/1xsp01RMmkav9iTy39Zaj_7tE9677EGlOJ14KU9TZn7I/"",""2003-2017!T2623"")"),"#REF!")</f>
        <v>#REF!</v>
      </c>
      <c r="F379" s="63" t="str">
        <f ca="1">IFERROR(__xludf.DUMMYFUNCTION("C373*IMPORTRANGE(""https://docs.google.com/spreadsheets/d/1xsp01RMmkav9iTy39Zaj_7tE9677EGlOJ14KU9TZn7I/"",""2003-2017!AC2623"")"),"#REF!")</f>
        <v>#REF!</v>
      </c>
      <c r="G379" s="66" t="s">
        <v>9</v>
      </c>
      <c r="K379" s="9"/>
      <c r="L379" s="2"/>
      <c r="M379" s="11"/>
      <c r="N379" s="11"/>
      <c r="O379" s="11"/>
      <c r="P379" s="11"/>
      <c r="Q379" s="1"/>
    </row>
    <row r="380" spans="1:17" ht="12.5" x14ac:dyDescent="0.25">
      <c r="A380" s="88" t="s">
        <v>352</v>
      </c>
      <c r="B380" s="53">
        <v>4</v>
      </c>
      <c r="C380" s="46">
        <f>10.1/1000</f>
        <v>1.01E-2</v>
      </c>
      <c r="D380" s="46" t="str">
        <f ca="1">IFERROR(__xludf.DUMMYFUNCTION("C374*IMPORTRANGE(""https://docs.google.com/spreadsheets/d/1xsp01RMmkav9iTy39Zaj_7tE9677EGlOJ14KU9TZn7I/"",""2003-2017!H2647"")"),"#REF!")</f>
        <v>#REF!</v>
      </c>
      <c r="E380" s="46" t="str">
        <f ca="1">IFERROR(__xludf.DUMMYFUNCTION("C374*IMPORTRANGE(""https://docs.google.com/spreadsheets/d/1xsp01RMmkav9iTy39Zaj_7tE9677EGlOJ14KU9TZn7I/"",""2003-2017!T2647"")"),"#REF!")</f>
        <v>#REF!</v>
      </c>
      <c r="F380" s="46" t="str">
        <f ca="1">IFERROR(__xludf.DUMMYFUNCTION("C374*IMPORTRANGE(""https://docs.google.com/spreadsheets/d/1xsp01RMmkav9iTy39Zaj_7tE9677EGlOJ14KU9TZn7I/"",""2003-2017!AC2647"")"),"#REF!")</f>
        <v>#REF!</v>
      </c>
      <c r="G380" s="49" t="s">
        <v>9</v>
      </c>
      <c r="K380" s="9"/>
      <c r="L380" s="2"/>
      <c r="M380" s="11"/>
      <c r="N380" s="11"/>
      <c r="O380" s="11"/>
      <c r="P380" s="11"/>
      <c r="Q380" s="1"/>
    </row>
    <row r="381" spans="1:17" ht="12.5" x14ac:dyDescent="0.25">
      <c r="A381" s="87" t="s">
        <v>353</v>
      </c>
      <c r="B381" s="69">
        <v>6</v>
      </c>
      <c r="C381" s="63">
        <f>216.7/1000</f>
        <v>0.21669999999999998</v>
      </c>
      <c r="D381" s="63" t="str">
        <f ca="1">IFERROR(__xludf.DUMMYFUNCTION("C375*IMPORTRANGE(""https://docs.google.com/spreadsheets/d/1xsp01RMmkav9iTy39Zaj_7tE9677EGlOJ14KU9TZn7I/"",""2003-2017!H2670"")"),"#REF!")</f>
        <v>#REF!</v>
      </c>
      <c r="E381" s="63" t="str">
        <f ca="1">IFERROR(__xludf.DUMMYFUNCTION("C375*IMPORTRANGE(""https://docs.google.com/spreadsheets/d/1xsp01RMmkav9iTy39Zaj_7tE9677EGlOJ14KU9TZn7I/"",""2003-2017!T2670"")"),"#REF!")</f>
        <v>#REF!</v>
      </c>
      <c r="F381" s="63" t="str">
        <f ca="1">IFERROR(__xludf.DUMMYFUNCTION("C375*IMPORTRANGE(""https://docs.google.com/spreadsheets/d/1xsp01RMmkav9iTy39Zaj_7tE9677EGlOJ14KU9TZn7I/"",""2003-2017!AC2670"")"),"#REF!")</f>
        <v>#REF!</v>
      </c>
      <c r="G381" s="66" t="s">
        <v>9</v>
      </c>
      <c r="K381" s="9"/>
      <c r="L381" s="2"/>
      <c r="M381" s="11"/>
      <c r="N381" s="11"/>
      <c r="O381" s="11"/>
      <c r="P381" s="11"/>
      <c r="Q381" s="1"/>
    </row>
    <row r="382" spans="1:17" ht="12.5" x14ac:dyDescent="0.25">
      <c r="A382" s="88" t="s">
        <v>354</v>
      </c>
      <c r="B382" s="53">
        <v>5</v>
      </c>
      <c r="C382" s="46">
        <f>338.6/1000</f>
        <v>0.33860000000000001</v>
      </c>
      <c r="D382" s="46" t="str">
        <f ca="1">IFERROR(__xludf.DUMMYFUNCTION("C376*IMPORTRANGE(""https://docs.google.com/spreadsheets/d/1xsp01RMmkav9iTy39Zaj_7tE9677EGlOJ14KU9TZn7I/"",""2003-2017!H2692"")"),"#REF!")</f>
        <v>#REF!</v>
      </c>
      <c r="E382" s="46" t="str">
        <f ca="1">IFERROR(__xludf.DUMMYFUNCTION("C376*IMPORTRANGE(""https://docs.google.com/spreadsheets/d/1xsp01RMmkav9iTy39Zaj_7tE9677EGlOJ14KU9TZn7I/"",""2003-2017!T1871"")"),"#REF!")</f>
        <v>#REF!</v>
      </c>
      <c r="F382" s="46" t="str">
        <f ca="1">IFERROR(__xludf.DUMMYFUNCTION("C376*IMPORTRANGE(""https://docs.google.com/spreadsheets/d/1xsp01RMmkav9iTy39Zaj_7tE9677EGlOJ14KU9TZn7I/"",""2003-2017!AC1871"")"),"#REF!")</f>
        <v>#REF!</v>
      </c>
      <c r="G382" s="49" t="s">
        <v>9</v>
      </c>
      <c r="K382" s="9"/>
      <c r="L382" s="2"/>
      <c r="M382" s="11"/>
      <c r="N382" s="11"/>
      <c r="O382" s="11"/>
      <c r="P382" s="11"/>
      <c r="Q382" s="1"/>
    </row>
    <row r="383" spans="1:17" ht="12.5" x14ac:dyDescent="0.25">
      <c r="A383" s="87" t="s">
        <v>355</v>
      </c>
      <c r="B383" s="69">
        <v>5</v>
      </c>
      <c r="C383" s="63">
        <f>375/1000</f>
        <v>0.375</v>
      </c>
      <c r="D383" s="63" t="str">
        <f ca="1">IFERROR(__xludf.DUMMYFUNCTION("C377*IMPORTRANGE(""https://docs.google.com/spreadsheets/d/1xsp01RMmkav9iTy39Zaj_7tE9677EGlOJ14KU9TZn7I/"",""2003-2017!H2716"")"),"#REF!")</f>
        <v>#REF!</v>
      </c>
      <c r="E383" s="63" t="str">
        <f ca="1">IFERROR(__xludf.DUMMYFUNCTION("C377*IMPORTRANGE(""https://docs.google.com/spreadsheets/d/1xsp01RMmkav9iTy39Zaj_7tE9677EGlOJ14KU9TZn7I/"",""2003-2017!T2716"")"),"#REF!")</f>
        <v>#REF!</v>
      </c>
      <c r="F383" s="63" t="str">
        <f ca="1">IFERROR(__xludf.DUMMYFUNCTION("C377*IMPORTRANGE(""https://docs.google.com/spreadsheets/d/1xsp01RMmkav9iTy39Zaj_7tE9677EGlOJ14KU9TZn7I/"",""2003-2017!AC2716"")"),"#REF!")</f>
        <v>#REF!</v>
      </c>
      <c r="G383" s="66" t="s">
        <v>9</v>
      </c>
      <c r="K383" s="9"/>
      <c r="L383" s="2"/>
      <c r="M383" s="11"/>
      <c r="N383" s="11"/>
      <c r="O383" s="11"/>
      <c r="P383" s="11"/>
      <c r="Q383" s="1"/>
    </row>
    <row r="384" spans="1:17" ht="12.5" x14ac:dyDescent="0.25">
      <c r="A384" s="88" t="s">
        <v>356</v>
      </c>
      <c r="B384" s="53">
        <v>1</v>
      </c>
      <c r="C384" s="46">
        <v>0</v>
      </c>
      <c r="D384" s="46" t="str">
        <f ca="1">IFERROR(__xludf.DUMMYFUNCTION("C378*IMPORTRANGE(""https://docs.google.com/spreadsheets/d/1xsp01RMmkav9iTy39Zaj_7tE9677EGlOJ14KU9TZn7I/"",""2003-2017!H2738"")"),"#REF!")</f>
        <v>#REF!</v>
      </c>
      <c r="E384" s="46" t="str">
        <f ca="1">IFERROR(__xludf.DUMMYFUNCTION("C378*IMPORTRANGE(""https://docs.google.com/spreadsheets/d/1xsp01RMmkav9iTy39Zaj_7tE9677EGlOJ14KU9TZn7I/"",""2003-2017!T2738"")"),"#REF!")</f>
        <v>#REF!</v>
      </c>
      <c r="F384" s="46" t="str">
        <f ca="1">IFERROR(__xludf.DUMMYFUNCTION("C378*IMPORTRANGE(""https://docs.google.com/spreadsheets/d/1xsp01RMmkav9iTy39Zaj_7tE9677EGlOJ14KU9TZn7I/"",""2003-2017!AC2738"")"),"#REF!")</f>
        <v>#REF!</v>
      </c>
      <c r="G384" s="49" t="s">
        <v>9</v>
      </c>
      <c r="K384" s="9"/>
      <c r="L384" s="2"/>
      <c r="M384" s="11"/>
      <c r="N384" s="11"/>
      <c r="O384" s="11"/>
      <c r="P384" s="11"/>
      <c r="Q384" s="1"/>
    </row>
    <row r="385" spans="1:17" ht="12.5" x14ac:dyDescent="0.25">
      <c r="A385" s="87" t="s">
        <v>357</v>
      </c>
      <c r="B385" s="69">
        <v>3</v>
      </c>
      <c r="C385" s="63">
        <f>75.4/1000</f>
        <v>7.5400000000000009E-2</v>
      </c>
      <c r="D385" s="63" t="str">
        <f ca="1">IFERROR(__xludf.DUMMYFUNCTION("C379*IMPORTRANGE(""https://docs.google.com/spreadsheets/d/1xsp01RMmkav9iTy39Zaj_7tE9677EGlOJ14KU9TZn7I/"",""2003-2017!H2761"")"),"#REF!")</f>
        <v>#REF!</v>
      </c>
      <c r="E385" s="63" t="str">
        <f ca="1">IFERROR(__xludf.DUMMYFUNCTION("C379*IMPORTRANGE(""https://docs.google.com/spreadsheets/d/1xsp01RMmkav9iTy39Zaj_7tE9677EGlOJ14KU9TZn7I/"",""2003-2017!T2761"")"),"#REF!")</f>
        <v>#REF!</v>
      </c>
      <c r="F385" s="63" t="str">
        <f ca="1">IFERROR(__xludf.DUMMYFUNCTION("C379*IMPORTRANGE(""https://docs.google.com/spreadsheets/d/1xsp01RMmkav9iTy39Zaj_7tE9677EGlOJ14KU9TZn7I/"",""2003-2017!AC2761"")"),"#REF!")</f>
        <v>#REF!</v>
      </c>
      <c r="G385" s="66" t="s">
        <v>9</v>
      </c>
      <c r="K385" s="9"/>
      <c r="L385" s="2"/>
      <c r="M385" s="11"/>
      <c r="N385" s="11"/>
      <c r="O385" s="11"/>
      <c r="P385" s="11"/>
      <c r="Q385" s="1"/>
    </row>
    <row r="386" spans="1:17" ht="12.5" x14ac:dyDescent="0.25">
      <c r="A386" s="76">
        <v>2014</v>
      </c>
      <c r="B386" s="60"/>
      <c r="C386" s="75"/>
      <c r="D386" s="75"/>
      <c r="E386" s="75"/>
      <c r="F386" s="75"/>
      <c r="G386" s="77"/>
      <c r="K386" s="9"/>
      <c r="L386" s="2"/>
      <c r="M386" s="11"/>
      <c r="N386" s="11"/>
      <c r="O386" s="11"/>
      <c r="P386" s="11"/>
      <c r="Q386" s="1"/>
    </row>
    <row r="387" spans="1:17" ht="12.5" x14ac:dyDescent="0.25">
      <c r="A387" s="88" t="s">
        <v>358</v>
      </c>
      <c r="B387" s="53">
        <v>3</v>
      </c>
      <c r="C387" s="46">
        <f>401.3/1000</f>
        <v>0.40129999999999999</v>
      </c>
      <c r="D387" s="46" t="str">
        <f ca="1">IFERROR(__xludf.DUMMYFUNCTION("C381*IMPORTRANGE(""https://docs.google.com/spreadsheets/d/1xsp01RMmkav9iTy39Zaj_7tE9677EGlOJ14KU9TZn7I/"",""2003-2017!H2786"")"),"#REF!")</f>
        <v>#REF!</v>
      </c>
      <c r="E387" s="46" t="str">
        <f ca="1">IFERROR(__xludf.DUMMYFUNCTION("C381*IMPORTRANGE(""https://docs.google.com/spreadsheets/d/1xsp01RMmkav9iTy39Zaj_7tE9677EGlOJ14KU9TZn7I/"",""2003-2017!T2786"")"),"#REF!")</f>
        <v>#REF!</v>
      </c>
      <c r="F387" s="46" t="str">
        <f ca="1">IFERROR(__xludf.DUMMYFUNCTION("C381*IMPORTRANGE(""https://docs.google.com/spreadsheets/d/1xsp01RMmkav9iTy39Zaj_7tE9677EGlOJ14KU9TZn7I/"",""2003-2017!AC2786"")"),"#REF!")</f>
        <v>#REF!</v>
      </c>
      <c r="G387" s="49" t="s">
        <v>9</v>
      </c>
      <c r="K387" s="9"/>
      <c r="L387" s="2"/>
      <c r="M387" s="11"/>
      <c r="N387" s="11"/>
      <c r="O387" s="11"/>
      <c r="P387" s="11"/>
      <c r="Q387" s="1"/>
    </row>
    <row r="388" spans="1:17" ht="12.5" x14ac:dyDescent="0.25">
      <c r="A388" s="87" t="s">
        <v>359</v>
      </c>
      <c r="B388" s="69">
        <v>4</v>
      </c>
      <c r="C388" s="63">
        <f>163.4/1000</f>
        <v>0.16340000000000002</v>
      </c>
      <c r="D388" s="63" t="str">
        <f ca="1">IFERROR(__xludf.DUMMYFUNCTION("C382*IMPORTRANGE(""https://docs.google.com/spreadsheets/d/1xsp01RMmkav9iTy39Zaj_7tE9677EGlOJ14KU9TZn7I/"",""2003-2017!H2807"")"),"#REF!")</f>
        <v>#REF!</v>
      </c>
      <c r="E388" s="63" t="str">
        <f ca="1">IFERROR(__xludf.DUMMYFUNCTION("C382*IMPORTRANGE(""https://docs.google.com/spreadsheets/d/1xsp01RMmkav9iTy39Zaj_7tE9677EGlOJ14KU9TZn7I/"",""2003-2017!T2807"")"),"#REF!")</f>
        <v>#REF!</v>
      </c>
      <c r="F388" s="63" t="str">
        <f ca="1">IFERROR(__xludf.DUMMYFUNCTION("C382*IMPORTRANGE(""https://docs.google.com/spreadsheets/d/1xsp01RMmkav9iTy39Zaj_7tE9677EGlOJ14KU9TZn7I/"",""2003-2017!AC2807"")"),"#REF!")</f>
        <v>#REF!</v>
      </c>
      <c r="G388" s="66" t="s">
        <v>9</v>
      </c>
      <c r="K388" s="9"/>
      <c r="L388" s="2"/>
      <c r="M388" s="11"/>
      <c r="N388" s="11"/>
      <c r="O388" s="11"/>
      <c r="P388" s="11"/>
      <c r="Q388" s="1"/>
    </row>
    <row r="389" spans="1:17" ht="12.5" x14ac:dyDescent="0.25">
      <c r="A389" s="88" t="s">
        <v>360</v>
      </c>
      <c r="B389" s="53">
        <v>4</v>
      </c>
      <c r="C389" s="46">
        <f>1.99/1000</f>
        <v>1.99E-3</v>
      </c>
      <c r="D389" s="46" t="str">
        <f ca="1">IFERROR(__xludf.DUMMYFUNCTION("C383*IMPORTRANGE(""https://docs.google.com/spreadsheets/d/1xsp01RMmkav9iTy39Zaj_7tE9677EGlOJ14KU9TZn7I/"",""2003-2017!H2829"")"),"#REF!")</f>
        <v>#REF!</v>
      </c>
      <c r="E389" s="46" t="str">
        <f ca="1">IFERROR(__xludf.DUMMYFUNCTION("C383*IMPORTRANGE(""https://docs.google.com/spreadsheets/d/1xsp01RMmkav9iTy39Zaj_7tE9677EGlOJ14KU9TZn7I/"",""2003-2017!T2829"")"),"#REF!")</f>
        <v>#REF!</v>
      </c>
      <c r="F389" s="46" t="str">
        <f ca="1">IFERROR(__xludf.DUMMYFUNCTION("C383*IMPORTRANGE(""https://docs.google.com/spreadsheets/d/1xsp01RMmkav9iTy39Zaj_7tE9677EGlOJ14KU9TZn7I/"",""2003-2017!AC2829"")"),"#REF!")</f>
        <v>#REF!</v>
      </c>
      <c r="G389" s="49" t="s">
        <v>9</v>
      </c>
      <c r="K389" s="9"/>
      <c r="L389" s="2"/>
      <c r="M389" s="11"/>
      <c r="N389" s="11"/>
      <c r="O389" s="11"/>
      <c r="P389" s="11"/>
      <c r="Q389" s="1"/>
    </row>
    <row r="390" spans="1:17" ht="12.5" x14ac:dyDescent="0.25">
      <c r="A390" s="87" t="s">
        <v>361</v>
      </c>
      <c r="B390" s="69">
        <v>3</v>
      </c>
      <c r="C390" s="63">
        <f>52.8/1000</f>
        <v>5.28E-2</v>
      </c>
      <c r="D390" s="63" t="str">
        <f ca="1">IFERROR(__xludf.DUMMYFUNCTION("C384*IMPORTRANGE(""https://docs.google.com/spreadsheets/d/1xsp01RMmkav9iTy39Zaj_7tE9677EGlOJ14KU9TZn7I/"",""2003-2017!H2852"")"),"#REF!")</f>
        <v>#REF!</v>
      </c>
      <c r="E390" s="63" t="str">
        <f ca="1">IFERROR(__xludf.DUMMYFUNCTION("C384*IMPORTRANGE(""https://docs.google.com/spreadsheets/d/1xsp01RMmkav9iTy39Zaj_7tE9677EGlOJ14KU9TZn7I/"",""2003-2017!T2852"")"),"#REF!")</f>
        <v>#REF!</v>
      </c>
      <c r="F390" s="63" t="str">
        <f ca="1">IFERROR(__xludf.DUMMYFUNCTION("C384*IMPORTRANGE(""https://docs.google.com/spreadsheets/d/1xsp01RMmkav9iTy39Zaj_7tE9677EGlOJ14KU9TZn7I/"",""2003-2017!AC2852"")"),"#REF!")</f>
        <v>#REF!</v>
      </c>
      <c r="G390" s="66" t="s">
        <v>9</v>
      </c>
      <c r="K390" s="9"/>
      <c r="L390" s="2"/>
      <c r="M390" s="11"/>
      <c r="N390" s="11"/>
      <c r="O390" s="11"/>
      <c r="P390" s="11"/>
      <c r="Q390" s="1"/>
    </row>
    <row r="391" spans="1:17" ht="12.5" x14ac:dyDescent="0.25">
      <c r="A391" s="88" t="s">
        <v>362</v>
      </c>
      <c r="B391" s="53">
        <v>3</v>
      </c>
      <c r="C391" s="46">
        <v>0</v>
      </c>
      <c r="D391" s="46" t="str">
        <f ca="1">IFERROR(__xludf.DUMMYFUNCTION("C385*IMPORTRANGE(""https://docs.google.com/spreadsheets/d/1xsp01RMmkav9iTy39Zaj_7tE9677EGlOJ14KU9TZn7I/"",""2003-2017!H2875"")"),"#REF!")</f>
        <v>#REF!</v>
      </c>
      <c r="E391" s="46" t="str">
        <f ca="1">IFERROR(__xludf.DUMMYFUNCTION("C385*IMPORTRANGE(""https://docs.google.com/spreadsheets/d/1xsp01RMmkav9iTy39Zaj_7tE9677EGlOJ14KU9TZn7I/"",""2003-2017!T2875"")"),"#REF!")</f>
        <v>#REF!</v>
      </c>
      <c r="F391" s="46" t="str">
        <f ca="1">IFERROR(__xludf.DUMMYFUNCTION("C385*IMPORTRANGE(""https://docs.google.com/spreadsheets/d/1xsp01RMmkav9iTy39Zaj_7tE9677EGlOJ14KU9TZn7I/"",""2003-2017!AC2875"")"),"#REF!")</f>
        <v>#REF!</v>
      </c>
      <c r="G391" s="49" t="s">
        <v>9</v>
      </c>
      <c r="K391" s="9"/>
      <c r="L391" s="2"/>
      <c r="M391" s="11"/>
      <c r="N391" s="11"/>
      <c r="O391" s="11"/>
      <c r="P391" s="11"/>
      <c r="Q391" s="1"/>
    </row>
    <row r="392" spans="1:17" ht="12.5" x14ac:dyDescent="0.25">
      <c r="A392" s="87" t="s">
        <v>363</v>
      </c>
      <c r="B392" s="69">
        <v>4</v>
      </c>
      <c r="C392" s="63">
        <f>0.832/1000</f>
        <v>8.3199999999999995E-4</v>
      </c>
      <c r="D392" s="63" t="str">
        <f ca="1">IFERROR(__xludf.DUMMYFUNCTION("C386*IMPORTRANGE(""https://docs.google.com/spreadsheets/d/1xsp01RMmkav9iTy39Zaj_7tE9677EGlOJ14KU9TZn7I/"",""2003-2017!H2897"")"),"#REF!")</f>
        <v>#REF!</v>
      </c>
      <c r="E392" s="63" t="str">
        <f ca="1">IFERROR(__xludf.DUMMYFUNCTION("C386*IMPORTRANGE(""https://docs.google.com/spreadsheets/d/1xsp01RMmkav9iTy39Zaj_7tE9677EGlOJ14KU9TZn7I/"",""2003-2017!T2897"")"),"#REF!")</f>
        <v>#REF!</v>
      </c>
      <c r="F392" s="63" t="str">
        <f ca="1">IFERROR(__xludf.DUMMYFUNCTION("C386*IMPORTRANGE(""https://docs.google.com/spreadsheets/d/1xsp01RMmkav9iTy39Zaj_7tE9677EGlOJ14KU9TZn7I/"",""2003-2017!AC2897"")"),"#REF!")</f>
        <v>#REF!</v>
      </c>
      <c r="G392" s="66" t="s">
        <v>9</v>
      </c>
      <c r="K392" s="9"/>
      <c r="L392" s="2"/>
      <c r="M392" s="11"/>
      <c r="N392" s="11"/>
      <c r="O392" s="11"/>
      <c r="P392" s="11"/>
      <c r="Q392" s="1"/>
    </row>
    <row r="393" spans="1:17" ht="12.5" x14ac:dyDescent="0.25">
      <c r="A393" s="88" t="s">
        <v>364</v>
      </c>
      <c r="B393" s="53">
        <v>6</v>
      </c>
      <c r="C393" s="46">
        <f>114.2/1000</f>
        <v>0.1142</v>
      </c>
      <c r="D393" s="46" t="str">
        <f ca="1">IFERROR(__xludf.DUMMYFUNCTION("C387*IMPORTRANGE(""https://docs.google.com/spreadsheets/d/1xsp01RMmkav9iTy39Zaj_7tE9677EGlOJ14KU9TZn7I/"",""2003-2017!H2921"")"),"#REF!")</f>
        <v>#REF!</v>
      </c>
      <c r="E393" s="46" t="str">
        <f ca="1">IFERROR(__xludf.DUMMYFUNCTION("C387*IMPORTRANGE(""https://docs.google.com/spreadsheets/d/1xsp01RMmkav9iTy39Zaj_7tE9677EGlOJ14KU9TZn7I/"",""2003-2017!T2921"")"),"#REF!")</f>
        <v>#REF!</v>
      </c>
      <c r="F393" s="46" t="str">
        <f ca="1">IFERROR(__xludf.DUMMYFUNCTION("C387*IMPORTRANGE(""https://docs.google.com/spreadsheets/d/1xsp01RMmkav9iTy39Zaj_7tE9677EGlOJ14KU9TZn7I/"",""2003-2017!AC2921"")"),"#REF!")</f>
        <v>#REF!</v>
      </c>
      <c r="G393" s="49" t="s">
        <v>9</v>
      </c>
      <c r="K393" s="9"/>
      <c r="L393" s="2"/>
      <c r="M393" s="11"/>
      <c r="N393" s="11"/>
      <c r="O393" s="11"/>
      <c r="P393" s="11"/>
      <c r="Q393" s="1"/>
    </row>
    <row r="394" spans="1:17" ht="12.5" x14ac:dyDescent="0.25">
      <c r="A394" s="87" t="s">
        <v>365</v>
      </c>
      <c r="B394" s="69">
        <v>6</v>
      </c>
      <c r="C394" s="63">
        <f>98.2/1000</f>
        <v>9.820000000000001E-2</v>
      </c>
      <c r="D394" s="63" t="str">
        <f ca="1">IFERROR(__xludf.DUMMYFUNCTION("C388*IMPORTRANGE(""https://docs.google.com/spreadsheets/d/1xsp01RMmkav9iTy39Zaj_7tE9677EGlOJ14KU9TZn7I/"",""2003-2017!H2943"")"),"#REF!")</f>
        <v>#REF!</v>
      </c>
      <c r="E394" s="63" t="str">
        <f ca="1">IFERROR(__xludf.DUMMYFUNCTION("C388*IMPORTRANGE(""https://docs.google.com/spreadsheets/d/1xsp01RMmkav9iTy39Zaj_7tE9677EGlOJ14KU9TZn7I/"",""2003-2017!T2943"")"),"#REF!")</f>
        <v>#REF!</v>
      </c>
      <c r="F394" s="63" t="str">
        <f ca="1">IFERROR(__xludf.DUMMYFUNCTION("C388*IMPORTRANGE(""https://docs.google.com/spreadsheets/d/1xsp01RMmkav9iTy39Zaj_7tE9677EGlOJ14KU9TZn7I/"",""2003-2017!AC2943"")"),"#REF!")</f>
        <v>#REF!</v>
      </c>
      <c r="G394" s="66" t="s">
        <v>9</v>
      </c>
      <c r="K394" s="9"/>
      <c r="L394" s="2"/>
      <c r="M394" s="11"/>
      <c r="N394" s="11"/>
      <c r="O394" s="11"/>
      <c r="P394" s="11"/>
      <c r="Q394" s="1"/>
    </row>
    <row r="395" spans="1:17" ht="12.5" x14ac:dyDescent="0.25">
      <c r="A395" s="88" t="s">
        <v>366</v>
      </c>
      <c r="B395" s="53">
        <v>5</v>
      </c>
      <c r="C395" s="46">
        <f>357.6/1000</f>
        <v>0.35760000000000003</v>
      </c>
      <c r="D395" s="46" t="str">
        <f ca="1">IFERROR(__xludf.DUMMYFUNCTION("C389*IMPORTRANGE(""https://docs.google.com/spreadsheets/d/1xsp01RMmkav9iTy39Zaj_7tE9677EGlOJ14KU9TZn7I/"",""2003-2017!H2966"")"),"#REF!")</f>
        <v>#REF!</v>
      </c>
      <c r="E395" s="46" t="str">
        <f ca="1">IFERROR(__xludf.DUMMYFUNCTION("C389*IMPORTRANGE(""https://docs.google.com/spreadsheets/d/1xsp01RMmkav9iTy39Zaj_7tE9677EGlOJ14KU9TZn7I/"",""2003-2017!T2966"")"),"#REF!")</f>
        <v>#REF!</v>
      </c>
      <c r="F395" s="46" t="str">
        <f ca="1">IFERROR(__xludf.DUMMYFUNCTION("C389*IMPORTRANGE(""https://docs.google.com/spreadsheets/d/1xsp01RMmkav9iTy39Zaj_7tE9677EGlOJ14KU9TZn7I/"",""2003-2017!AC2966"")"),"#REF!")</f>
        <v>#REF!</v>
      </c>
      <c r="G395" s="49" t="s">
        <v>9</v>
      </c>
      <c r="K395" s="9"/>
      <c r="L395" s="2"/>
      <c r="M395" s="11"/>
      <c r="N395" s="11"/>
      <c r="O395" s="11"/>
      <c r="P395" s="11"/>
      <c r="Q395" s="1"/>
    </row>
    <row r="396" spans="1:17" ht="12.5" x14ac:dyDescent="0.25">
      <c r="A396" s="87" t="s">
        <v>367</v>
      </c>
      <c r="B396" s="69">
        <v>4</v>
      </c>
      <c r="C396" s="63">
        <f>121/1000</f>
        <v>0.121</v>
      </c>
      <c r="D396" s="63" t="str">
        <f ca="1">IFERROR(__xludf.DUMMYFUNCTION("C390*IMPORTRANGE(""https://docs.google.com/spreadsheets/d/1xsp01RMmkav9iTy39Zaj_7tE9677EGlOJ14KU9TZn7I/"",""2003-2017!H2990"")"),"#REF!")</f>
        <v>#REF!</v>
      </c>
      <c r="E396" s="63" t="str">
        <f ca="1">IFERROR(__xludf.DUMMYFUNCTION("C390*IMPORTRANGE(""https://docs.google.com/spreadsheets/d/1xsp01RMmkav9iTy39Zaj_7tE9677EGlOJ14KU9TZn7I/"",""2003-2017!T2990"")"),"#REF!")</f>
        <v>#REF!</v>
      </c>
      <c r="F396" s="63" t="str">
        <f ca="1">IFERROR(__xludf.DUMMYFUNCTION("C390*IMPORTRANGE(""https://docs.google.com/spreadsheets/d/1xsp01RMmkav9iTy39Zaj_7tE9677EGlOJ14KU9TZn7I/"",""2003-2017!AC2990"")"),"#REF!")</f>
        <v>#REF!</v>
      </c>
      <c r="G396" s="66" t="s">
        <v>9</v>
      </c>
      <c r="K396" s="9"/>
      <c r="L396" s="2"/>
      <c r="M396" s="11"/>
      <c r="N396" s="11"/>
      <c r="O396" s="11"/>
      <c r="P396" s="11"/>
      <c r="Q396" s="1"/>
    </row>
    <row r="397" spans="1:17" ht="12.5" x14ac:dyDescent="0.25">
      <c r="A397" s="88" t="s">
        <v>368</v>
      </c>
      <c r="B397" s="53">
        <v>4</v>
      </c>
      <c r="C397" s="46">
        <f>8.5/1000</f>
        <v>8.5000000000000006E-3</v>
      </c>
      <c r="D397" s="46" t="str">
        <f ca="1">IFERROR(__xludf.DUMMYFUNCTION("C391*IMPORTRANGE(""https://docs.google.com/spreadsheets/d/1xsp01RMmkav9iTy39Zaj_7tE9677EGlOJ14KU9TZn7I/"",""2003-2017!H3011"")"),"#REF!")</f>
        <v>#REF!</v>
      </c>
      <c r="E397" s="46" t="str">
        <f ca="1">IFERROR(__xludf.DUMMYFUNCTION("C391*IMPORTRANGE(""https://docs.google.com/spreadsheets/d/1xsp01RMmkav9iTy39Zaj_7tE9677EGlOJ14KU9TZn7I/"",""2003-2017!T3011"")"),"#REF!")</f>
        <v>#REF!</v>
      </c>
      <c r="F397" s="46" t="str">
        <f ca="1">IFERROR(__xludf.DUMMYFUNCTION("C391*IMPORTRANGE(""https://docs.google.com/spreadsheets/d/1xsp01RMmkav9iTy39Zaj_7tE9677EGlOJ14KU9TZn7I/"",""2003-2017!AC3011"")"),"#REF!")</f>
        <v>#REF!</v>
      </c>
      <c r="G397" s="49" t="s">
        <v>9</v>
      </c>
      <c r="K397" s="9"/>
      <c r="L397" s="2"/>
      <c r="M397" s="11"/>
      <c r="N397" s="11"/>
      <c r="O397" s="11"/>
      <c r="P397" s="11"/>
      <c r="Q397" s="1"/>
    </row>
    <row r="398" spans="1:17" ht="12.5" x14ac:dyDescent="0.25">
      <c r="A398" s="87" t="s">
        <v>369</v>
      </c>
      <c r="B398" s="69">
        <v>3</v>
      </c>
      <c r="C398" s="63">
        <v>0</v>
      </c>
      <c r="D398" s="63" t="str">
        <f ca="1">IFERROR(__xludf.DUMMYFUNCTION("C392*IMPORTRANGE(""https://docs.google.com/spreadsheets/d/1xsp01RMmkav9iTy39Zaj_7tE9677EGlOJ14KU9TZn7I/"",""2003-2017!H3035"")"),"#REF!")</f>
        <v>#REF!</v>
      </c>
      <c r="E398" s="63" t="str">
        <f ca="1">IFERROR(__xludf.DUMMYFUNCTION("C392*IMPORTRANGE(""https://docs.google.com/spreadsheets/d/1xsp01RMmkav9iTy39Zaj_7tE9677EGlOJ14KU9TZn7I/"",""2003-2017!T3035"")"),"#REF!")</f>
        <v>#REF!</v>
      </c>
      <c r="F398" s="63" t="str">
        <f ca="1">IFERROR(__xludf.DUMMYFUNCTION("C392*IMPORTRANGE(""https://docs.google.com/spreadsheets/d/1xsp01RMmkav9iTy39Zaj_7tE9677EGlOJ14KU9TZn7I/"",""2003-2017!AC3035"")"),"#REF!")</f>
        <v>#REF!</v>
      </c>
      <c r="G398" s="66" t="s">
        <v>9</v>
      </c>
      <c r="K398" s="9"/>
      <c r="L398" s="2"/>
      <c r="M398" s="11"/>
      <c r="N398" s="11"/>
      <c r="O398" s="11"/>
      <c r="P398" s="11"/>
      <c r="Q398" s="1"/>
    </row>
    <row r="399" spans="1:17" ht="12.5" x14ac:dyDescent="0.25">
      <c r="A399" s="76">
        <v>2015</v>
      </c>
      <c r="B399" s="60"/>
      <c r="C399" s="75"/>
      <c r="D399" s="75"/>
      <c r="E399" s="75"/>
      <c r="F399" s="75"/>
      <c r="G399" s="77"/>
      <c r="K399" s="9"/>
      <c r="L399" s="2"/>
      <c r="M399" s="11"/>
      <c r="N399" s="11"/>
      <c r="O399" s="11"/>
      <c r="P399" s="11"/>
      <c r="Q399" s="1"/>
    </row>
    <row r="400" spans="1:17" ht="12.5" x14ac:dyDescent="0.25">
      <c r="A400" s="88" t="s">
        <v>370</v>
      </c>
      <c r="B400" s="53">
        <v>4</v>
      </c>
      <c r="C400" s="46">
        <f>0.081/1000</f>
        <v>8.1000000000000004E-5</v>
      </c>
      <c r="D400" s="46" t="str">
        <f ca="1">IFERROR(__xludf.DUMMYFUNCTION("C394*IMPORTRANGE(""https://docs.google.com/spreadsheets/d/1xsp01RMmkav9iTy39Zaj_7tE9677EGlOJ14KU9TZn7I/"",""2003-2017!H3059"")"),"#REF!")</f>
        <v>#REF!</v>
      </c>
      <c r="E400" s="46" t="str">
        <f ca="1">IFERROR(__xludf.DUMMYFUNCTION("C394*IMPORTRANGE(""https://docs.google.com/spreadsheets/d/1xsp01RMmkav9iTy39Zaj_7tE9677EGlOJ14KU9TZn7I/"",""2003-2017!T3059"")"),"#REF!")</f>
        <v>#REF!</v>
      </c>
      <c r="F400" s="46" t="str">
        <f ca="1">IFERROR(__xludf.DUMMYFUNCTION("C394*IMPORTRANGE(""https://docs.google.com/spreadsheets/d/1xsp01RMmkav9iTy39Zaj_7tE9677EGlOJ14KU9TZn7I/"",""2003-2017!AC3059"")"),"#REF!")</f>
        <v>#REF!</v>
      </c>
      <c r="G400" s="49" t="s">
        <v>9</v>
      </c>
      <c r="K400" s="9"/>
      <c r="L400" s="2"/>
      <c r="M400" s="11"/>
      <c r="N400" s="11"/>
      <c r="O400" s="11"/>
      <c r="P400" s="11"/>
      <c r="Q400" s="1"/>
    </row>
    <row r="401" spans="1:17" ht="12.5" x14ac:dyDescent="0.25">
      <c r="A401" s="87" t="s">
        <v>371</v>
      </c>
      <c r="B401" s="69">
        <v>4</v>
      </c>
      <c r="C401" s="63">
        <f>99.7/1000</f>
        <v>9.9699999999999997E-2</v>
      </c>
      <c r="D401" s="63" t="str">
        <f ca="1">IFERROR(__xludf.DUMMYFUNCTION("C395*IMPORTRANGE(""https://docs.google.com/spreadsheets/d/1xsp01RMmkav9iTy39Zaj_7tE9677EGlOJ14KU9TZn7I/"",""2003-2017!H3080"")"),"#REF!")</f>
        <v>#REF!</v>
      </c>
      <c r="E401" s="63" t="str">
        <f ca="1">IFERROR(__xludf.DUMMYFUNCTION("C395*IMPORTRANGE(""https://docs.google.com/spreadsheets/d/1xsp01RMmkav9iTy39Zaj_7tE9677EGlOJ14KU9TZn7I/"",""2003-2017!T3080"")"),"#REF!")</f>
        <v>#REF!</v>
      </c>
      <c r="F401" s="63" t="str">
        <f ca="1">IFERROR(__xludf.DUMMYFUNCTION("C395*IMPORTRANGE(""https://docs.google.com/spreadsheets/d/1xsp01RMmkav9iTy39Zaj_7tE9677EGlOJ14KU9TZn7I/"",""2003-2017!AC3080"")"),"#REF!")</f>
        <v>#REF!</v>
      </c>
      <c r="G401" s="66" t="s">
        <v>9</v>
      </c>
      <c r="K401" s="9"/>
      <c r="L401" s="2"/>
      <c r="M401" s="11"/>
      <c r="N401" s="11"/>
      <c r="O401" s="11"/>
      <c r="P401" s="11"/>
      <c r="Q401" s="1"/>
    </row>
    <row r="402" spans="1:17" ht="12.5" x14ac:dyDescent="0.25">
      <c r="A402" s="88" t="s">
        <v>372</v>
      </c>
      <c r="B402" s="48">
        <v>6</v>
      </c>
      <c r="C402" s="46">
        <f>0.824/1000</f>
        <v>8.2399999999999997E-4</v>
      </c>
      <c r="D402" s="46" t="str">
        <f ca="1">IFERROR(__xludf.DUMMYFUNCTION("C396*IMPORTRANGE(""https://docs.google.com/spreadsheets/d/1xsp01RMmkav9iTy39Zaj_7tE9677EGlOJ14KU9TZn7I/"",""2003-2017!H3103"")"),"#REF!")</f>
        <v>#REF!</v>
      </c>
      <c r="E402" s="46" t="str">
        <f ca="1">IFERROR(__xludf.DUMMYFUNCTION("C396*IMPORTRANGE(""https://docs.google.com/spreadsheets/d/1xsp01RMmkav9iTy39Zaj_7tE9677EGlOJ14KU9TZn7I/"",""2003-2017!T3103"")"),"#REF!")</f>
        <v>#REF!</v>
      </c>
      <c r="F402" s="46" t="str">
        <f ca="1">IFERROR(__xludf.DUMMYFUNCTION("C396*IMPORTRANGE(""https://docs.google.com/spreadsheets/d/1xsp01RMmkav9iTy39Zaj_7tE9677EGlOJ14KU9TZn7I/"",""2003-2017!AC3103"")"),"#REF!")</f>
        <v>#REF!</v>
      </c>
      <c r="G402" s="49" t="s">
        <v>9</v>
      </c>
      <c r="K402" s="9"/>
      <c r="L402" s="2"/>
      <c r="M402" s="11"/>
      <c r="N402" s="11"/>
      <c r="O402" s="11"/>
      <c r="P402" s="11"/>
      <c r="Q402" s="1"/>
    </row>
    <row r="403" spans="1:17" ht="12.5" x14ac:dyDescent="0.25">
      <c r="A403" s="87" t="s">
        <v>373</v>
      </c>
      <c r="B403" s="69">
        <v>7</v>
      </c>
      <c r="C403" s="63">
        <f>9.6/1000</f>
        <v>9.5999999999999992E-3</v>
      </c>
      <c r="D403" s="63" t="str">
        <f ca="1">IFERROR(__xludf.DUMMYFUNCTION("C397*IMPORTRANGE(""https://docs.google.com/spreadsheets/d/1xsp01RMmkav9iTy39Zaj_7tE9677EGlOJ14KU9TZn7I/"",""2003-2017!H3126"")"),"#REF!")</f>
        <v>#REF!</v>
      </c>
      <c r="E403" s="63" t="str">
        <f ca="1">IFERROR(__xludf.DUMMYFUNCTION("C397*IMPORTRANGE(""https://docs.google.com/spreadsheets/d/1xsp01RMmkav9iTy39Zaj_7tE9677EGlOJ14KU9TZn7I/"",""2003-2017!T3126"")"),"#REF!")</f>
        <v>#REF!</v>
      </c>
      <c r="F403" s="63" t="str">
        <f ca="1">IFERROR(__xludf.DUMMYFUNCTION("C397*IMPORTRANGE(""https://docs.google.com/spreadsheets/d/1xsp01RMmkav9iTy39Zaj_7tE9677EGlOJ14KU9TZn7I/"",""2003-2017!AC3126"")"),"#REF!")</f>
        <v>#REF!</v>
      </c>
      <c r="G403" s="66" t="s">
        <v>9</v>
      </c>
      <c r="K403" s="9"/>
      <c r="L403" s="2"/>
      <c r="M403" s="11"/>
      <c r="N403" s="11"/>
      <c r="O403" s="11"/>
      <c r="P403" s="11"/>
      <c r="Q403" s="1"/>
    </row>
    <row r="404" spans="1:17" ht="12.5" x14ac:dyDescent="0.25">
      <c r="A404" s="88" t="s">
        <v>374</v>
      </c>
      <c r="B404" s="53">
        <v>8</v>
      </c>
      <c r="C404" s="46">
        <f>491/1000</f>
        <v>0.49099999999999999</v>
      </c>
      <c r="D404" s="46" t="str">
        <f ca="1">IFERROR(__xludf.DUMMYFUNCTION("C398*IMPORTRANGE(""https://docs.google.com/spreadsheets/d/1xsp01RMmkav9iTy39Zaj_7tE9677EGlOJ14KU9TZn7I/"",""2003-2017!H3148"")"),"#REF!")</f>
        <v>#REF!</v>
      </c>
      <c r="E404" s="46" t="str">
        <f ca="1">IFERROR(__xludf.DUMMYFUNCTION("C398*IMPORTRANGE(""https://docs.google.com/spreadsheets/d/1xsp01RMmkav9iTy39Zaj_7tE9677EGlOJ14KU9TZn7I/"",""2003-2017!T3148"")"),"#REF!")</f>
        <v>#REF!</v>
      </c>
      <c r="F404" s="46" t="str">
        <f ca="1">IFERROR(__xludf.DUMMYFUNCTION("C398*IMPORTRANGE(""https://docs.google.com/spreadsheets/d/1xsp01RMmkav9iTy39Zaj_7tE9677EGlOJ14KU9TZn7I/"",""2003-2017!AC3148"")"),"#REF!")</f>
        <v>#REF!</v>
      </c>
      <c r="G404" s="49" t="s">
        <v>9</v>
      </c>
      <c r="K404" s="9"/>
      <c r="L404" s="2"/>
      <c r="M404" s="11"/>
      <c r="N404" s="11"/>
      <c r="O404" s="11"/>
      <c r="P404" s="11"/>
      <c r="Q404" s="1"/>
    </row>
    <row r="405" spans="1:17" ht="12.5" x14ac:dyDescent="0.25">
      <c r="A405" s="87" t="s">
        <v>375</v>
      </c>
      <c r="B405" s="69">
        <v>8</v>
      </c>
      <c r="C405" s="63">
        <f>128.5/1000</f>
        <v>0.1285</v>
      </c>
      <c r="D405" s="63" t="str">
        <f ca="1">IFERROR(__xludf.DUMMYFUNCTION("C399*IMPORTRANGE(""https://docs.google.com/spreadsheets/d/1xsp01RMmkav9iTy39Zaj_7tE9677EGlOJ14KU9TZn7I/"",""2003-2017!H3171"")"),"#REF!")</f>
        <v>#REF!</v>
      </c>
      <c r="E405" s="63" t="str">
        <f ca="1">IFERROR(__xludf.DUMMYFUNCTION("C399*IMPORTRANGE(""https://docs.google.com/spreadsheets/d/1xsp01RMmkav9iTy39Zaj_7tE9677EGlOJ14KU9TZn7I/"",""2003-2017!T3171"")"),"#REF!")</f>
        <v>#REF!</v>
      </c>
      <c r="F405" s="63" t="str">
        <f ca="1">IFERROR(__xludf.DUMMYFUNCTION("C399*IMPORTRANGE(""https://docs.google.com/spreadsheets/d/1xsp01RMmkav9iTy39Zaj_7tE9677EGlOJ14KU9TZn7I/"",""2003-2017!AC3171"")"),"#REF!")</f>
        <v>#REF!</v>
      </c>
      <c r="G405" s="66" t="s">
        <v>9</v>
      </c>
      <c r="K405" s="9"/>
      <c r="L405" s="2"/>
      <c r="M405" s="11"/>
      <c r="N405" s="11"/>
      <c r="O405" s="11"/>
      <c r="P405" s="11"/>
      <c r="Q405" s="1"/>
    </row>
    <row r="406" spans="1:17" ht="12.5" x14ac:dyDescent="0.25">
      <c r="A406" s="88" t="s">
        <v>376</v>
      </c>
      <c r="B406" s="53">
        <v>5</v>
      </c>
      <c r="C406" s="46">
        <f>2225/1000</f>
        <v>2.2250000000000001</v>
      </c>
      <c r="D406" s="46" t="str">
        <f ca="1">IFERROR(__xludf.DUMMYFUNCTION("C400*IMPORTRANGE(""https://docs.google.com/spreadsheets/d/1xsp01RMmkav9iTy39Zaj_7tE9677EGlOJ14KU9TZn7I/"",""2003-2017!H3195"")"),"#REF!")</f>
        <v>#REF!</v>
      </c>
      <c r="E406" s="46" t="str">
        <f ca="1">IFERROR(__xludf.DUMMYFUNCTION("C400*IMPORTRANGE(""https://docs.google.com/spreadsheets/d/1xsp01RMmkav9iTy39Zaj_7tE9677EGlOJ14KU9TZn7I/"",""2003-2017!T3195"")"),"#REF!")</f>
        <v>#REF!</v>
      </c>
      <c r="F406" s="46" t="str">
        <f ca="1">IFERROR(__xludf.DUMMYFUNCTION("C400*IMPORTRANGE(""https://docs.google.com/spreadsheets/d/1xsp01RMmkav9iTy39Zaj_7tE9677EGlOJ14KU9TZn7I/"",""2003-2017!AC3195"")"),"#REF!")</f>
        <v>#REF!</v>
      </c>
      <c r="G406" s="49" t="s">
        <v>9</v>
      </c>
      <c r="K406" s="9"/>
      <c r="L406" s="2"/>
      <c r="M406" s="11"/>
      <c r="N406" s="11"/>
      <c r="O406" s="11"/>
      <c r="P406" s="11"/>
      <c r="Q406" s="1"/>
    </row>
    <row r="407" spans="1:17" ht="12.5" x14ac:dyDescent="0.25">
      <c r="A407" s="87" t="s">
        <v>377</v>
      </c>
      <c r="B407" s="69">
        <v>8</v>
      </c>
      <c r="C407" s="63">
        <f>29.4/1000</f>
        <v>2.9399999999999999E-2</v>
      </c>
      <c r="D407" s="63" t="str">
        <f ca="1">IFERROR(__xludf.DUMMYFUNCTION("C401*IMPORTRANGE(""https://docs.google.com/spreadsheets/d/1xsp01RMmkav9iTy39Zaj_7tE9677EGlOJ14KU9TZn7I/"",""2003-2017!H3217"")"),"#REF!")</f>
        <v>#REF!</v>
      </c>
      <c r="E407" s="63" t="str">
        <f ca="1">IFERROR(__xludf.DUMMYFUNCTION("C401*IMPORTRANGE(""https://docs.google.com/spreadsheets/d/1xsp01RMmkav9iTy39Zaj_7tE9677EGlOJ14KU9TZn7I/"",""2003-2017!T3217"")"),"#REF!")</f>
        <v>#REF!</v>
      </c>
      <c r="F407" s="63" t="str">
        <f ca="1">IFERROR(__xludf.DUMMYFUNCTION("C401*IMPORTRANGE(""https://docs.google.com/spreadsheets/d/1xsp01RMmkav9iTy39Zaj_7tE9677EGlOJ14KU9TZn7I/"",""2003-2017!AC3217"")"),"#REF!")</f>
        <v>#REF!</v>
      </c>
      <c r="G407" s="66" t="s">
        <v>9</v>
      </c>
      <c r="K407" s="9"/>
      <c r="L407" s="2"/>
      <c r="M407" s="11"/>
      <c r="N407" s="11"/>
      <c r="O407" s="11"/>
      <c r="P407" s="11"/>
      <c r="Q407" s="1"/>
    </row>
    <row r="408" spans="1:17" ht="12.5" x14ac:dyDescent="0.25">
      <c r="A408" s="88" t="s">
        <v>378</v>
      </c>
      <c r="B408" s="53">
        <v>5</v>
      </c>
      <c r="C408" s="46">
        <f>406.7/1000</f>
        <v>0.40670000000000001</v>
      </c>
      <c r="D408" s="46" t="str">
        <f ca="1">IFERROR(__xludf.DUMMYFUNCTION("C402*IMPORTRANGE(""https://docs.google.com/spreadsheets/d/1xsp01RMmkav9iTy39Zaj_7tE9677EGlOJ14KU9TZn7I/"",""2003-2017!H3240"")"),"#REF!")</f>
        <v>#REF!</v>
      </c>
      <c r="E408" s="46" t="str">
        <f ca="1">IFERROR(__xludf.DUMMYFUNCTION("C402*IMPORTRANGE(""https://docs.google.com/spreadsheets/d/1xsp01RMmkav9iTy39Zaj_7tE9677EGlOJ14KU9TZn7I/"",""2003-2017!T3240"")"),"#REF!")</f>
        <v>#REF!</v>
      </c>
      <c r="F408" s="46" t="str">
        <f ca="1">IFERROR(__xludf.DUMMYFUNCTION("C402*IMPORTRANGE(""https://docs.google.com/spreadsheets/d/1xsp01RMmkav9iTy39Zaj_7tE9677EGlOJ14KU9TZn7I/"",""2003-2017!AC3240"")"),"#REF!")</f>
        <v>#REF!</v>
      </c>
      <c r="G408" s="49" t="s">
        <v>9</v>
      </c>
      <c r="K408" s="9"/>
      <c r="L408" s="2"/>
      <c r="M408" s="11"/>
      <c r="N408" s="11"/>
      <c r="O408" s="11"/>
      <c r="P408" s="11"/>
      <c r="Q408" s="1"/>
    </row>
    <row r="409" spans="1:17" ht="12.5" x14ac:dyDescent="0.25">
      <c r="A409" s="87" t="s">
        <v>379</v>
      </c>
      <c r="B409" s="69">
        <v>9</v>
      </c>
      <c r="C409" s="63">
        <f>16.1/1000</f>
        <v>1.61E-2</v>
      </c>
      <c r="D409" s="63" t="str">
        <f ca="1">IFERROR(__xludf.DUMMYFUNCTION("C403*IMPORTRANGE(""https://docs.google.com/spreadsheets/d/1xsp01RMmkav9iTy39Zaj_7tE9677EGlOJ14KU9TZn7I/"",""2003-2017!H3263"")"),"#REF!")</f>
        <v>#REF!</v>
      </c>
      <c r="E409" s="63" t="str">
        <f ca="1">IFERROR(__xludf.DUMMYFUNCTION("C403*IMPORTRANGE(""https://docs.google.com/spreadsheets/d/1xsp01RMmkav9iTy39Zaj_7tE9677EGlOJ14KU9TZn7I/"",""2003-2017!T3263"")"),"#REF!")</f>
        <v>#REF!</v>
      </c>
      <c r="F409" s="63" t="str">
        <f ca="1">IFERROR(__xludf.DUMMYFUNCTION("C403*IMPORTRANGE(""https://docs.google.com/spreadsheets/d/1xsp01RMmkav9iTy39Zaj_7tE9677EGlOJ14KU9TZn7I/"",""2003-2017!AC3263"")"),"#REF!")</f>
        <v>#REF!</v>
      </c>
      <c r="G409" s="66" t="s">
        <v>9</v>
      </c>
      <c r="K409" s="9"/>
      <c r="L409" s="2"/>
      <c r="M409" s="11"/>
      <c r="N409" s="11"/>
      <c r="O409" s="11"/>
      <c r="P409" s="11"/>
      <c r="Q409" s="1"/>
    </row>
    <row r="410" spans="1:17" ht="12.5" x14ac:dyDescent="0.25">
      <c r="A410" s="88" t="s">
        <v>380</v>
      </c>
      <c r="B410" s="53">
        <v>3</v>
      </c>
      <c r="C410" s="46">
        <f>1.06/1000</f>
        <v>1.06E-3</v>
      </c>
      <c r="D410" s="46" t="str">
        <f ca="1">IFERROR(__xludf.DUMMYFUNCTION("C404*IMPORTRANGE(""https://docs.google.com/spreadsheets/d/1xsp01RMmkav9iTy39Zaj_7tE9677EGlOJ14KU9TZn7I/"",""2003-2017!H3285"")"),"#REF!")</f>
        <v>#REF!</v>
      </c>
      <c r="E410" s="46" t="str">
        <f ca="1">IFERROR(__xludf.DUMMYFUNCTION("C404*IMPORTRANGE(""https://docs.google.com/spreadsheets/d/1xsp01RMmkav9iTy39Zaj_7tE9677EGlOJ14KU9TZn7I/"",""2003-2017!T3285"")"),"#REF!")</f>
        <v>#REF!</v>
      </c>
      <c r="F410" s="46" t="str">
        <f ca="1">IFERROR(__xludf.DUMMYFUNCTION("C404*IMPORTRANGE(""https://docs.google.com/spreadsheets/d/1xsp01RMmkav9iTy39Zaj_7tE9677EGlOJ14KU9TZn7I/"",""2003-2017!AC3285"")"),"#REF!")</f>
        <v>#REF!</v>
      </c>
      <c r="G410" s="49" t="s">
        <v>9</v>
      </c>
      <c r="K410" s="9"/>
      <c r="L410" s="2"/>
      <c r="M410" s="11"/>
      <c r="N410" s="11"/>
      <c r="O410" s="11"/>
      <c r="P410" s="11"/>
      <c r="Q410" s="1"/>
    </row>
    <row r="411" spans="1:17" ht="12.5" x14ac:dyDescent="0.25">
      <c r="A411" s="87" t="s">
        <v>381</v>
      </c>
      <c r="B411" s="69">
        <v>7</v>
      </c>
      <c r="C411" s="63">
        <f>22.6/1000</f>
        <v>2.2600000000000002E-2</v>
      </c>
      <c r="D411" s="63" t="str">
        <f ca="1">IFERROR(__xludf.DUMMYFUNCTION("C405*IMPORTRANGE(""https://docs.google.com/spreadsheets/d/1xsp01RMmkav9iTy39Zaj_7tE9677EGlOJ14KU9TZn7I/"",""2003-2017!H3309"")"),"#REF!")</f>
        <v>#REF!</v>
      </c>
      <c r="E411" s="63" t="str">
        <f ca="1">IFERROR(__xludf.DUMMYFUNCTION("C405*IMPORTRANGE(""https://docs.google.com/spreadsheets/d/1xsp01RMmkav9iTy39Zaj_7tE9677EGlOJ14KU9TZn7I/"",""2003-2017!T3309"")"),"#REF!")</f>
        <v>#REF!</v>
      </c>
      <c r="F411" s="63" t="str">
        <f ca="1">IFERROR(__xludf.DUMMYFUNCTION("C405*IMPORTRANGE(""https://docs.google.com/spreadsheets/d/1xsp01RMmkav9iTy39Zaj_7tE9677EGlOJ14KU9TZn7I/"",""2003-2017!AC3309"")"),"#REF!")</f>
        <v>#REF!</v>
      </c>
      <c r="G411" s="66" t="s">
        <v>9</v>
      </c>
      <c r="K411" s="9"/>
      <c r="L411" s="2"/>
      <c r="M411" s="11"/>
      <c r="N411" s="11"/>
      <c r="O411" s="11"/>
      <c r="P411" s="11"/>
      <c r="Q411" s="1"/>
    </row>
    <row r="412" spans="1:17" ht="12.5" x14ac:dyDescent="0.25">
      <c r="A412" s="76">
        <v>2016</v>
      </c>
      <c r="B412" s="60"/>
      <c r="C412" s="60"/>
      <c r="D412" s="75"/>
      <c r="E412" s="75"/>
      <c r="F412" s="75"/>
      <c r="G412" s="77"/>
      <c r="K412" s="9"/>
      <c r="L412" s="2"/>
      <c r="M412" s="11"/>
      <c r="N412" s="11"/>
      <c r="O412" s="11"/>
      <c r="P412" s="11"/>
      <c r="Q412" s="1"/>
    </row>
    <row r="413" spans="1:17" ht="12.5" x14ac:dyDescent="0.25">
      <c r="A413" s="88" t="s">
        <v>382</v>
      </c>
      <c r="B413" s="53">
        <v>5</v>
      </c>
      <c r="C413" s="46">
        <f>0.69/1000</f>
        <v>6.8999999999999997E-4</v>
      </c>
      <c r="D413" s="46" t="str">
        <f ca="1">IFERROR(__xludf.DUMMYFUNCTION("C407*IMPORTRANGE(""https://docs.google.com/spreadsheets/d/1xsp01RMmkav9iTy39Zaj_7tE9677EGlOJ14KU9TZn7I/"",""2003-2017!H3332"")"),"#REF!")</f>
        <v>#REF!</v>
      </c>
      <c r="E413" s="46" t="str">
        <f ca="1">IFERROR(__xludf.DUMMYFUNCTION("C407*IMPORTRANGE(""https://docs.google.com/spreadsheets/d/1xsp01RMmkav9iTy39Zaj_7tE9677EGlOJ14KU9TZn7I/"",""2003-2017!T3332"")"),"#REF!")</f>
        <v>#REF!</v>
      </c>
      <c r="F413" s="46" t="str">
        <f ca="1">IFERROR(__xludf.DUMMYFUNCTION("C407*IMPORTRANGE(""https://docs.google.com/spreadsheets/d/1xsp01RMmkav9iTy39Zaj_7tE9677EGlOJ14KU9TZn7I/"",""2003-2017!AC3332"")"),"#REF!")</f>
        <v>#REF!</v>
      </c>
      <c r="G413" s="49" t="s">
        <v>9</v>
      </c>
      <c r="K413" s="9"/>
      <c r="L413" s="2"/>
      <c r="M413" s="11"/>
      <c r="N413" s="11"/>
      <c r="O413" s="11"/>
      <c r="P413" s="11"/>
      <c r="Q413" s="1"/>
    </row>
    <row r="414" spans="1:17" ht="12.5" x14ac:dyDescent="0.25">
      <c r="A414" s="87" t="s">
        <v>383</v>
      </c>
      <c r="B414" s="69">
        <v>2</v>
      </c>
      <c r="C414" s="63">
        <f>4.52/1000</f>
        <v>4.5199999999999997E-3</v>
      </c>
      <c r="D414" s="63" t="str">
        <f ca="1">IFERROR(__xludf.DUMMYFUNCTION("C408*IMPORTRANGE(""https://docs.google.com/spreadsheets/d/1xsp01RMmkav9iTy39Zaj_7tE9677EGlOJ14KU9TZn7I/"",""2003-2017!H3354"")"),"#REF!")</f>
        <v>#REF!</v>
      </c>
      <c r="E414" s="63" t="str">
        <f ca="1">IFERROR(__xludf.DUMMYFUNCTION("C408*IMPORTRANGE(""https://docs.google.com/spreadsheets/d/1xsp01RMmkav9iTy39Zaj_7tE9677EGlOJ14KU9TZn7I/"",""2003-2017!T3354"")"),"#REF!")</f>
        <v>#REF!</v>
      </c>
      <c r="F414" s="63" t="str">
        <f ca="1">IFERROR(__xludf.DUMMYFUNCTION("C408*IMPORTRANGE(""https://docs.google.com/spreadsheets/d/1xsp01RMmkav9iTy39Zaj_7tE9677EGlOJ14KU9TZn7I/"",""2003-2017!AC3354"")"),"#REF!")</f>
        <v>#REF!</v>
      </c>
      <c r="G414" s="66" t="s">
        <v>9</v>
      </c>
      <c r="K414" s="9"/>
      <c r="L414" s="2"/>
      <c r="M414" s="11"/>
      <c r="N414" s="11"/>
      <c r="O414" s="11"/>
      <c r="P414" s="11"/>
      <c r="Q414" s="1"/>
    </row>
    <row r="415" spans="1:17" ht="12.5" x14ac:dyDescent="0.25">
      <c r="A415" s="88" t="s">
        <v>384</v>
      </c>
      <c r="B415" s="53">
        <v>3</v>
      </c>
      <c r="C415" s="46">
        <f>6.07/1000</f>
        <v>6.0699999999999999E-3</v>
      </c>
      <c r="D415" s="46" t="str">
        <f ca="1">IFERROR(__xludf.DUMMYFUNCTION("C409*IMPORTRANGE(""https://docs.google.com/spreadsheets/d/1xsp01RMmkav9iTy39Zaj_7tE9677EGlOJ14KU9TZn7I/"",""2003-2017!H3378"")"),"#REF!")</f>
        <v>#REF!</v>
      </c>
      <c r="E415" s="46" t="str">
        <f ca="1">IFERROR(__xludf.DUMMYFUNCTION("C409*IMPORTRANGE(""https://docs.google.com/spreadsheets/d/1xsp01RMmkav9iTy39Zaj_7tE9677EGlOJ14KU9TZn7I/"",""2003-2017!T3378"")"),"#REF!")</f>
        <v>#REF!</v>
      </c>
      <c r="F415" s="46" t="str">
        <f ca="1">IFERROR(__xludf.DUMMYFUNCTION("C409*IMPORTRANGE(""https://docs.google.com/spreadsheets/d/1xsp01RMmkav9iTy39Zaj_7tE9677EGlOJ14KU9TZn7I/"",""2003-2017!AC3378"")"),"#REF!")</f>
        <v>#REF!</v>
      </c>
      <c r="G415" s="49" t="s">
        <v>9</v>
      </c>
      <c r="K415" s="9"/>
      <c r="L415" s="2"/>
      <c r="M415" s="11"/>
      <c r="N415" s="11"/>
      <c r="O415" s="11"/>
      <c r="P415" s="11"/>
      <c r="Q415" s="1"/>
    </row>
    <row r="416" spans="1:17" ht="12.5" x14ac:dyDescent="0.25">
      <c r="A416" s="87" t="s">
        <v>385</v>
      </c>
      <c r="B416" s="69">
        <v>8</v>
      </c>
      <c r="C416" s="63">
        <f>1160.1/1000</f>
        <v>1.1600999999999999</v>
      </c>
      <c r="D416" s="63" t="str">
        <f ca="1">IFERROR(__xludf.DUMMYFUNCTION("C410*IMPORTRANGE(""https://docs.google.com/spreadsheets/d/1xsp01RMmkav9iTy39Zaj_7tE9677EGlOJ14KU9TZn7I/"",""2003-2017!H3400"")"),"#REF!")</f>
        <v>#REF!</v>
      </c>
      <c r="E416" s="63" t="str">
        <f ca="1">IFERROR(__xludf.DUMMYFUNCTION("C410*IMPORTRANGE(""https://docs.google.com/spreadsheets/d/1xsp01RMmkav9iTy39Zaj_7tE9677EGlOJ14KU9TZn7I/"",""2003-2017!T3400"")"),"#REF!")</f>
        <v>#REF!</v>
      </c>
      <c r="F416" s="63" t="str">
        <f ca="1">IFERROR(__xludf.DUMMYFUNCTION("C410*IMPORTRANGE(""https://docs.google.com/spreadsheets/d/1xsp01RMmkav9iTy39Zaj_7tE9677EGlOJ14KU9TZn7I/"",""2003-2017!AC3400"")"),"#REF!")</f>
        <v>#REF!</v>
      </c>
      <c r="G416" s="66" t="s">
        <v>9</v>
      </c>
      <c r="K416" s="9"/>
      <c r="L416" s="2"/>
      <c r="M416" s="11"/>
      <c r="N416" s="11"/>
      <c r="O416" s="11"/>
      <c r="P416" s="11"/>
      <c r="Q416" s="1"/>
    </row>
    <row r="417" spans="1:17" ht="12.5" x14ac:dyDescent="0.25">
      <c r="A417" s="88" t="s">
        <v>386</v>
      </c>
      <c r="B417" s="53">
        <v>4</v>
      </c>
      <c r="C417" s="46">
        <f>18.6/1000</f>
        <v>1.8600000000000002E-2</v>
      </c>
      <c r="D417" s="46" t="str">
        <f ca="1">IFERROR(__xludf.DUMMYFUNCTION("C411*IMPORTRANGE(""https://docs.google.com/spreadsheets/d/1xsp01RMmkav9iTy39Zaj_7tE9677EGlOJ14KU9TZn7I/"",""2003-2017!H3423"")"),"#REF!")</f>
        <v>#REF!</v>
      </c>
      <c r="E417" s="46" t="str">
        <f ca="1">IFERROR(__xludf.DUMMYFUNCTION("C411*IMPORTRANGE(""https://docs.google.com/spreadsheets/d/1xsp01RMmkav9iTy39Zaj_7tE9677EGlOJ14KU9TZn7I/"",""2003-2017!T3423"")"),"#REF!")</f>
        <v>#REF!</v>
      </c>
      <c r="F417" s="46" t="str">
        <f ca="1">IFERROR(__xludf.DUMMYFUNCTION("C411*IMPORTRANGE(""https://docs.google.com/spreadsheets/d/1xsp01RMmkav9iTy39Zaj_7tE9677EGlOJ14KU9TZn7I/"",""2003-2017!AC3423"")"),"#REF!")</f>
        <v>#REF!</v>
      </c>
      <c r="G417" s="49" t="s">
        <v>9</v>
      </c>
      <c r="K417" s="9"/>
      <c r="L417" s="2"/>
      <c r="M417" s="11"/>
      <c r="N417" s="11"/>
      <c r="O417" s="11"/>
      <c r="P417" s="11"/>
      <c r="Q417" s="1"/>
    </row>
    <row r="418" spans="1:17" ht="12.5" x14ac:dyDescent="0.25">
      <c r="A418" s="87" t="s">
        <v>387</v>
      </c>
      <c r="B418" s="69">
        <v>6</v>
      </c>
      <c r="C418" s="63">
        <f>210/1000</f>
        <v>0.21</v>
      </c>
      <c r="D418" s="63" t="str">
        <f ca="1">IFERROR(__xludf.DUMMYFUNCTION("C412*IMPORTRANGE(""https://docs.google.com/spreadsheets/d/1xsp01RMmkav9iTy39Zaj_7tE9677EGlOJ14KU9TZn7I/"",""2003-2017!H3446"")"),"#REF!")</f>
        <v>#REF!</v>
      </c>
      <c r="E418" s="63" t="str">
        <f ca="1">IFERROR(__xludf.DUMMYFUNCTION("C412*IMPORTRANGE(""https://docs.google.com/spreadsheets/d/1xsp01RMmkav9iTy39Zaj_7tE9677EGlOJ14KU9TZn7I/"",""2003-2017!T3446"")"),"#REF!")</f>
        <v>#REF!</v>
      </c>
      <c r="F418" s="63" t="str">
        <f ca="1">IFERROR(__xludf.DUMMYFUNCTION("C412*IMPORTRANGE(""https://docs.google.com/spreadsheets/d/1xsp01RMmkav9iTy39Zaj_7tE9677EGlOJ14KU9TZn7I/"",""2003-2017!AC3446"")"),"#REF!")</f>
        <v>#REF!</v>
      </c>
      <c r="G418" s="66" t="s">
        <v>9</v>
      </c>
      <c r="K418" s="9"/>
      <c r="L418" s="2"/>
      <c r="M418" s="11"/>
      <c r="N418" s="11"/>
      <c r="O418" s="11"/>
      <c r="P418" s="11"/>
      <c r="Q418" s="1"/>
    </row>
    <row r="419" spans="1:17" ht="12.5" x14ac:dyDescent="0.25">
      <c r="A419" s="88" t="s">
        <v>388</v>
      </c>
      <c r="B419" s="53">
        <v>5</v>
      </c>
      <c r="C419" s="46">
        <f>235.9/1000</f>
        <v>0.2359</v>
      </c>
      <c r="D419" s="46" t="str">
        <f ca="1">IFERROR(__xludf.DUMMYFUNCTION("C413*IMPORTRANGE(""https://docs.google.com/spreadsheets/d/1xsp01RMmkav9iTy39Zaj_7tE9677EGlOJ14KU9TZn7I/"",""2003-2017!H3468"")"),"#REF!")</f>
        <v>#REF!</v>
      </c>
      <c r="E419" s="46" t="str">
        <f ca="1">IFERROR(__xludf.DUMMYFUNCTION("C413*IMPORTRANGE(""https://docs.google.com/spreadsheets/d/1xsp01RMmkav9iTy39Zaj_7tE9677EGlOJ14KU9TZn7I/"",""2003-2017!T3468"")"),"#REF!")</f>
        <v>#REF!</v>
      </c>
      <c r="F419" s="46" t="str">
        <f ca="1">IFERROR(__xludf.DUMMYFUNCTION("C413*IMPORTRANGE(""https://docs.google.com/spreadsheets/d/1xsp01RMmkav9iTy39Zaj_7tE9677EGlOJ14KU9TZn7I/"",""2003-2017!AC3468"")"),"#REF!")</f>
        <v>#REF!</v>
      </c>
      <c r="G419" s="49" t="s">
        <v>9</v>
      </c>
      <c r="K419" s="9"/>
      <c r="L419" s="2"/>
      <c r="M419" s="11"/>
      <c r="N419" s="11"/>
      <c r="O419" s="11"/>
      <c r="P419" s="11"/>
      <c r="Q419" s="1"/>
    </row>
    <row r="420" spans="1:17" ht="12.5" x14ac:dyDescent="0.25">
      <c r="A420" s="87" t="s">
        <v>389</v>
      </c>
      <c r="B420" s="69">
        <v>2</v>
      </c>
      <c r="C420" s="63">
        <v>0</v>
      </c>
      <c r="D420" s="63" t="str">
        <f ca="1">IFERROR(__xludf.DUMMYFUNCTION("C414*IMPORTRANGE(""https://docs.google.com/spreadsheets/d/1xsp01RMmkav9iTy39Zaj_7tE9677EGlOJ14KU9TZn7I/"",""2003-2017!H3492"")"),"#REF!")</f>
        <v>#REF!</v>
      </c>
      <c r="E420" s="63" t="str">
        <f ca="1">IFERROR(__xludf.DUMMYFUNCTION("C414*IMPORTRANGE(""https://docs.google.com/spreadsheets/d/1xsp01RMmkav9iTy39Zaj_7tE9677EGlOJ14KU9TZn7I/"",""2003-2017!T3492"")"),"#REF!")</f>
        <v>#REF!</v>
      </c>
      <c r="F420" s="63" t="str">
        <f ca="1">IFERROR(__xludf.DUMMYFUNCTION("C414*IMPORTRANGE(""https://docs.google.com/spreadsheets/d/1xsp01RMmkav9iTy39Zaj_7tE9677EGlOJ14KU9TZn7I/"",""2003-2017!AC3492"")"),"#REF!")</f>
        <v>#REF!</v>
      </c>
      <c r="G420" s="66" t="s">
        <v>9</v>
      </c>
      <c r="K420" s="9"/>
      <c r="L420" s="2"/>
      <c r="M420" s="11"/>
      <c r="N420" s="11"/>
      <c r="O420" s="11"/>
      <c r="P420" s="11"/>
      <c r="Q420" s="1"/>
    </row>
    <row r="421" spans="1:17" ht="12.5" x14ac:dyDescent="0.25">
      <c r="A421" s="88" t="s">
        <v>390</v>
      </c>
      <c r="B421" s="53">
        <v>7</v>
      </c>
      <c r="C421" s="46">
        <f>914.7/1000</f>
        <v>0.91470000000000007</v>
      </c>
      <c r="D421" s="46" t="str">
        <f ca="1">IFERROR(__xludf.DUMMYFUNCTION("C415*IMPORTRANGE(""https://docs.google.com/spreadsheets/d/1xsp01RMmkav9iTy39Zaj_7tE9677EGlOJ14KU9TZn7I/"",""2003-2017!H3515"")"),"#REF!")</f>
        <v>#REF!</v>
      </c>
      <c r="E421" s="46" t="str">
        <f ca="1">IFERROR(__xludf.DUMMYFUNCTION("C415*IMPORTRANGE(""https://docs.google.com/spreadsheets/d/1xsp01RMmkav9iTy39Zaj_7tE9677EGlOJ14KU9TZn7I/"",""2003-2017!T3515"")"),"#REF!")</f>
        <v>#REF!</v>
      </c>
      <c r="F421" s="46" t="str">
        <f ca="1">IFERROR(__xludf.DUMMYFUNCTION("C415*IMPORTRANGE(""https://docs.google.com/spreadsheets/d/1xsp01RMmkav9iTy39Zaj_7tE9677EGlOJ14KU9TZn7I/"",""2003-2017!AC3515"")"),"#REF!")</f>
        <v>#REF!</v>
      </c>
      <c r="G421" s="49" t="s">
        <v>9</v>
      </c>
      <c r="K421" s="9"/>
      <c r="L421" s="2"/>
      <c r="M421" s="11"/>
      <c r="N421" s="11"/>
      <c r="O421" s="11"/>
      <c r="P421" s="11"/>
      <c r="Q421" s="1"/>
    </row>
    <row r="422" spans="1:17" ht="12.5" x14ac:dyDescent="0.25">
      <c r="A422" s="87" t="s">
        <v>391</v>
      </c>
      <c r="B422" s="69">
        <v>11</v>
      </c>
      <c r="C422" s="63">
        <f>446.5/1000</f>
        <v>0.44650000000000001</v>
      </c>
      <c r="D422" s="63" t="str">
        <f ca="1">IFERROR(__xludf.DUMMYFUNCTION("C416*IMPORTRANGE(""https://docs.google.com/spreadsheets/d/1xsp01RMmkav9iTy39Zaj_7tE9677EGlOJ14KU9TZn7I/"",""2003-2017!H3537"")"),"#REF!")</f>
        <v>#REF!</v>
      </c>
      <c r="E422" s="63" t="str">
        <f ca="1">IFERROR(__xludf.DUMMYFUNCTION("C416*IMPORTRANGE(""https://docs.google.com/spreadsheets/d/1xsp01RMmkav9iTy39Zaj_7tE9677EGlOJ14KU9TZn7I/"",""2003-2017!T3537"")"),"#REF!")</f>
        <v>#REF!</v>
      </c>
      <c r="F422" s="63" t="str">
        <f ca="1">IFERROR(__xludf.DUMMYFUNCTION("C416*IMPORTRANGE(""https://docs.google.com/spreadsheets/d/1xsp01RMmkav9iTy39Zaj_7tE9677EGlOJ14KU9TZn7I/"",""2003-2017!AC3537"")"),"#REF!")</f>
        <v>#REF!</v>
      </c>
      <c r="G422" s="66" t="s">
        <v>9</v>
      </c>
      <c r="K422" s="9"/>
      <c r="L422" s="2"/>
      <c r="M422" s="11"/>
      <c r="N422" s="11"/>
      <c r="O422" s="11"/>
      <c r="P422" s="11"/>
      <c r="Q422" s="1"/>
    </row>
    <row r="423" spans="1:17" ht="12.5" x14ac:dyDescent="0.25">
      <c r="A423" s="88" t="s">
        <v>392</v>
      </c>
      <c r="B423" s="53">
        <v>9</v>
      </c>
      <c r="C423" s="46">
        <f>5.5/1000</f>
        <v>5.4999999999999997E-3</v>
      </c>
      <c r="D423" s="46" t="str">
        <f ca="1">IFERROR(__xludf.DUMMYFUNCTION("C417*IMPORTRANGE(""https://docs.google.com/spreadsheets/d/1xsp01RMmkav9iTy39Zaj_7tE9677EGlOJ14KU9TZn7I/"",""2003-2017!H3560"")"),"#REF!")</f>
        <v>#REF!</v>
      </c>
      <c r="E423" s="46" t="str">
        <f ca="1">IFERROR(__xludf.DUMMYFUNCTION("C417*IMPORTRANGE(""https://docs.google.com/spreadsheets/d/1xsp01RMmkav9iTy39Zaj_7tE9677EGlOJ14KU9TZn7I/"",""2003-2017!T3560"")"),"#REF!")</f>
        <v>#REF!</v>
      </c>
      <c r="F423" s="46" t="str">
        <f ca="1">IFERROR(__xludf.DUMMYFUNCTION("C417*IMPORTRANGE(""https://docs.google.com/spreadsheets/d/1xsp01RMmkav9iTy39Zaj_7tE9677EGlOJ14KU9TZn7I/"",""2003-2017!AC3560"")"),"#REF!")</f>
        <v>#REF!</v>
      </c>
      <c r="G423" s="49" t="s">
        <v>9</v>
      </c>
      <c r="K423" s="9"/>
      <c r="L423" s="2"/>
      <c r="M423" s="11"/>
      <c r="N423" s="11"/>
      <c r="O423" s="11"/>
      <c r="P423" s="11"/>
      <c r="Q423" s="1"/>
    </row>
    <row r="424" spans="1:17" ht="12.5" x14ac:dyDescent="0.25">
      <c r="A424" s="87" t="s">
        <v>393</v>
      </c>
      <c r="B424" s="69">
        <v>3</v>
      </c>
      <c r="C424" s="63">
        <f>0.378/1000</f>
        <v>3.7800000000000003E-4</v>
      </c>
      <c r="D424" s="63" t="str">
        <f ca="1">IFERROR(__xludf.DUMMYFUNCTION("C418*IMPORTRANGE(""https://docs.google.com/spreadsheets/d/1xsp01RMmkav9iTy39Zaj_7tE9677EGlOJ14KU9TZn7I/"",""2003-2017!H3583"")"),"#REF!")</f>
        <v>#REF!</v>
      </c>
      <c r="E424" s="63" t="str">
        <f ca="1">IFERROR(__xludf.DUMMYFUNCTION("C418*IMPORTRANGE(""https://docs.google.com/spreadsheets/d/1xsp01RMmkav9iTy39Zaj_7tE9677EGlOJ14KU9TZn7I/"",""2003-2017!T3583"")"),"#REF!")</f>
        <v>#REF!</v>
      </c>
      <c r="F424" s="63" t="str">
        <f ca="1">IFERROR(__xludf.DUMMYFUNCTION("C418*IMPORTRANGE(""https://docs.google.com/spreadsheets/d/1xsp01RMmkav9iTy39Zaj_7tE9677EGlOJ14KU9TZn7I/"",""2003-2017!AC3583"")"),"#REF!")</f>
        <v>#REF!</v>
      </c>
      <c r="G424" s="66" t="s">
        <v>9</v>
      </c>
      <c r="K424" s="9"/>
      <c r="L424" s="2"/>
      <c r="M424" s="11"/>
      <c r="N424" s="11"/>
      <c r="O424" s="11"/>
      <c r="P424" s="11"/>
      <c r="Q424" s="1"/>
    </row>
    <row r="425" spans="1:17" ht="12.5" x14ac:dyDescent="0.25">
      <c r="A425" s="76">
        <v>2017</v>
      </c>
      <c r="B425" s="60"/>
      <c r="C425" s="75"/>
      <c r="D425" s="75"/>
      <c r="E425" s="75"/>
      <c r="F425" s="75"/>
      <c r="G425" s="77"/>
      <c r="K425" s="9"/>
      <c r="L425" s="2"/>
      <c r="M425" s="11"/>
      <c r="N425" s="11"/>
      <c r="O425" s="11"/>
      <c r="P425" s="11"/>
      <c r="Q425" s="1"/>
    </row>
    <row r="426" spans="1:17" ht="12.5" x14ac:dyDescent="0.25">
      <c r="A426" s="88" t="s">
        <v>394</v>
      </c>
      <c r="B426" s="53">
        <v>11</v>
      </c>
      <c r="C426" s="46">
        <f>54.1/1000</f>
        <v>5.4100000000000002E-2</v>
      </c>
      <c r="D426" s="46" t="str">
        <f ca="1">IFERROR(__xludf.DUMMYFUNCTION("C420*IMPORTRANGE(""https://docs.google.com/spreadsheets/d/1xsp01RMmkav9iTy39Zaj_7tE9677EGlOJ14KU9TZn7I/"",""2003-2017!H3607"")"),"#REF!")</f>
        <v>#REF!</v>
      </c>
      <c r="E426" s="46" t="str">
        <f ca="1">IFERROR(__xludf.DUMMYFUNCTION("C420*IMPORTRANGE(""https://docs.google.com/spreadsheets/d/1xsp01RMmkav9iTy39Zaj_7tE9677EGlOJ14KU9TZn7I/"",""2003-2017!T3607"")"),"#REF!")</f>
        <v>#REF!</v>
      </c>
      <c r="F426" s="46" t="str">
        <f ca="1">IFERROR(__xludf.DUMMYFUNCTION("C420*IMPORTRANGE(""https://docs.google.com/spreadsheets/d/1xsp01RMmkav9iTy39Zaj_7tE9677EGlOJ14KU9TZn7I/"",""2003-2017!AC3607"")"),"#REF!")</f>
        <v>#REF!</v>
      </c>
      <c r="G426" s="49" t="s">
        <v>9</v>
      </c>
      <c r="K426" s="9"/>
      <c r="L426" s="2"/>
      <c r="M426" s="11"/>
      <c r="N426" s="11"/>
      <c r="O426" s="11"/>
      <c r="P426" s="11"/>
      <c r="Q426" s="1"/>
    </row>
    <row r="427" spans="1:17" ht="12.5" x14ac:dyDescent="0.25">
      <c r="A427" s="87" t="s">
        <v>395</v>
      </c>
      <c r="B427" s="69">
        <v>7</v>
      </c>
      <c r="C427" s="63">
        <f>109/1000</f>
        <v>0.109</v>
      </c>
      <c r="D427" s="63" t="str">
        <f ca="1">IFERROR(__xludf.DUMMYFUNCTION("C421*IMPORTRANGE(""https://docs.google.com/spreadsheets/d/1xsp01RMmkav9iTy39Zaj_7tE9677EGlOJ14KU9TZn7I/"",""2003-2017!H3628"")"),"#REF!")</f>
        <v>#REF!</v>
      </c>
      <c r="E427" s="63" t="str">
        <f ca="1">IFERROR(__xludf.DUMMYFUNCTION("C421*IMPORTRANGE(""https://docs.google.com/spreadsheets/d/1xsp01RMmkav9iTy39Zaj_7tE9677EGlOJ14KU9TZn7I/"",""2003-2017!T3628"")"),"#REF!")</f>
        <v>#REF!</v>
      </c>
      <c r="F427" s="63" t="str">
        <f ca="1">IFERROR(__xludf.DUMMYFUNCTION("C421*IMPORTRANGE(""https://docs.google.com/spreadsheets/d/1xsp01RMmkav9iTy39Zaj_7tE9677EGlOJ14KU9TZn7I/"",""2003-2017!AC3628"")"),"#REF!")</f>
        <v>#REF!</v>
      </c>
      <c r="G427" s="66" t="s">
        <v>9</v>
      </c>
      <c r="K427" s="9"/>
      <c r="L427" s="2"/>
      <c r="M427" s="11"/>
      <c r="N427" s="11"/>
      <c r="O427" s="11"/>
      <c r="P427" s="11"/>
      <c r="Q427" s="1"/>
    </row>
    <row r="428" spans="1:17" ht="12.5" x14ac:dyDescent="0.25">
      <c r="A428" s="88" t="s">
        <v>396</v>
      </c>
      <c r="B428" s="53">
        <v>10</v>
      </c>
      <c r="C428" s="46">
        <f>238.1/1000</f>
        <v>0.23810000000000001</v>
      </c>
      <c r="D428" s="46" t="str">
        <f ca="1">IFERROR(__xludf.DUMMYFUNCTION("C422*IMPORTRANGE(""https://docs.google.com/spreadsheets/d/1xsp01RMmkav9iTy39Zaj_7tE9677EGlOJ14KU9TZn7I/"",""2003-2017!H3652"")"),"#REF!")</f>
        <v>#REF!</v>
      </c>
      <c r="E428" s="46" t="str">
        <f ca="1">IFERROR(__xludf.DUMMYFUNCTION("C422*IMPORTRANGE(""https://docs.google.com/spreadsheets/d/1xsp01RMmkav9iTy39Zaj_7tE9677EGlOJ14KU9TZn7I/"",""2003-2017!T3652"")"),"#REF!")</f>
        <v>#REF!</v>
      </c>
      <c r="F428" s="46" t="str">
        <f ca="1">IFERROR(__xludf.DUMMYFUNCTION("C422*IMPORTRANGE(""https://docs.google.com/spreadsheets/d/1xsp01RMmkav9iTy39Zaj_7tE9677EGlOJ14KU9TZn7I/"",""2003-2017!AC3652"")"),"#REF!")</f>
        <v>#REF!</v>
      </c>
      <c r="G428" s="49" t="s">
        <v>9</v>
      </c>
      <c r="K428" s="9"/>
      <c r="L428" s="2"/>
      <c r="M428" s="11"/>
      <c r="N428" s="11"/>
      <c r="O428" s="11"/>
      <c r="P428" s="11"/>
      <c r="Q428" s="1"/>
    </row>
    <row r="429" spans="1:17" ht="12.5" x14ac:dyDescent="0.25">
      <c r="A429" s="87" t="s">
        <v>397</v>
      </c>
      <c r="B429" s="69">
        <v>4</v>
      </c>
      <c r="C429" s="63">
        <f>27.8/1000</f>
        <v>2.7800000000000002E-2</v>
      </c>
      <c r="D429" s="63" t="str">
        <f ca="1">IFERROR(__xludf.DUMMYFUNCTION("C423*IMPORTRANGE(""https://docs.google.com/spreadsheets/d/1xsp01RMmkav9iTy39Zaj_7tE9677EGlOJ14KU9TZn7I/"",""2003-2017!H3673"")"),"#REF!")</f>
        <v>#REF!</v>
      </c>
      <c r="E429" s="63" t="str">
        <f ca="1">IFERROR(__xludf.DUMMYFUNCTION("C423*IMPORTRANGE(""https://docs.google.com/spreadsheets/d/1xsp01RMmkav9iTy39Zaj_7tE9677EGlOJ14KU9TZn7I/"",""2003-2017!T3673"")"),"#REF!")</f>
        <v>#REF!</v>
      </c>
      <c r="F429" s="63" t="str">
        <f ca="1">IFERROR(__xludf.DUMMYFUNCTION("C423*IMPORTRANGE(""https://docs.google.com/spreadsheets/d/1xsp01RMmkav9iTy39Zaj_7tE9677EGlOJ14KU9TZn7I/"",""2003-2017!AC3673"")"),"#REF!")</f>
        <v>#REF!</v>
      </c>
      <c r="G429" s="66" t="s">
        <v>9</v>
      </c>
      <c r="K429" s="9"/>
      <c r="L429" s="2"/>
      <c r="M429" s="11"/>
      <c r="N429" s="11"/>
      <c r="O429" s="11"/>
      <c r="P429" s="11"/>
      <c r="Q429" s="1"/>
    </row>
    <row r="430" spans="1:17" ht="12.5" x14ac:dyDescent="0.25">
      <c r="A430" s="88" t="s">
        <v>398</v>
      </c>
      <c r="B430" s="53">
        <v>5</v>
      </c>
      <c r="C430" s="46">
        <f>109.2/1000</f>
        <v>0.10920000000000001</v>
      </c>
      <c r="D430" s="46" t="str">
        <f ca="1">IFERROR(__xludf.DUMMYFUNCTION("C424*IMPORTRANGE(""https://docs.google.com/spreadsheets/d/1xsp01RMmkav9iTy39Zaj_7tE9677EGlOJ14KU9TZn7I/"",""2003-2017!H3697"")"),"#REF!")</f>
        <v>#REF!</v>
      </c>
      <c r="E430" s="46" t="str">
        <f ca="1">IFERROR(__xludf.DUMMYFUNCTION("C424*IMPORTRANGE(""https://docs.google.com/spreadsheets/d/1xsp01RMmkav9iTy39Zaj_7tE9677EGlOJ14KU9TZn7I/"",""2003-2017!T3697"")"),"#REF!")</f>
        <v>#REF!</v>
      </c>
      <c r="F430" s="46" t="str">
        <f ca="1">IFERROR(__xludf.DUMMYFUNCTION("C424*IMPORTRANGE(""https://docs.google.com/spreadsheets/d/1xsp01RMmkav9iTy39Zaj_7tE9677EGlOJ14KU9TZn7I/"",""2003-2017!AC3697"")"),"#REF!")</f>
        <v>#REF!</v>
      </c>
      <c r="G430" s="49" t="s">
        <v>9</v>
      </c>
      <c r="K430" s="9"/>
      <c r="L430" s="2"/>
      <c r="M430" s="11"/>
      <c r="N430" s="11"/>
      <c r="O430" s="11"/>
      <c r="P430" s="11"/>
      <c r="Q430" s="1"/>
    </row>
    <row r="431" spans="1:17" ht="12.5" x14ac:dyDescent="0.25">
      <c r="A431" s="87" t="s">
        <v>399</v>
      </c>
      <c r="B431" s="69">
        <v>6</v>
      </c>
      <c r="C431" s="63">
        <f>0.062/1000</f>
        <v>6.2000000000000003E-5</v>
      </c>
      <c r="D431" s="63" t="str">
        <f ca="1">IFERROR(__xludf.DUMMYFUNCTION("C425*IMPORTRANGE(""https://docs.google.com/spreadsheets/d/1xsp01RMmkav9iTy39Zaj_7tE9677EGlOJ14KU9TZn7I/"",""2003-2017!H3720"")"),"#REF!")</f>
        <v>#REF!</v>
      </c>
      <c r="E431" s="63" t="str">
        <f ca="1">IFERROR(__xludf.DUMMYFUNCTION("C425*IMPORTRANGE(""https://docs.google.com/spreadsheets/d/1xsp01RMmkav9iTy39Zaj_7tE9677EGlOJ14KU9TZn7I/"",""2003-2017!T3720"")"),"#REF!")</f>
        <v>#REF!</v>
      </c>
      <c r="F431" s="63" t="str">
        <f ca="1">IFERROR(__xludf.DUMMYFUNCTION("C425*IMPORTRANGE(""https://docs.google.com/spreadsheets/d/1xsp01RMmkav9iTy39Zaj_7tE9677EGlOJ14KU9TZn7I/"",""2003-2017!AC3720"")"),"#REF!")</f>
        <v>#REF!</v>
      </c>
      <c r="G431" s="66" t="s">
        <v>9</v>
      </c>
      <c r="K431" s="9"/>
      <c r="L431" s="2"/>
      <c r="M431" s="11"/>
      <c r="N431" s="11"/>
      <c r="O431" s="11"/>
      <c r="P431" s="11"/>
      <c r="Q431" s="1"/>
    </row>
    <row r="432" spans="1:17" ht="12.5" x14ac:dyDescent="0.25">
      <c r="A432" s="88" t="s">
        <v>400</v>
      </c>
      <c r="B432" s="53">
        <v>4</v>
      </c>
      <c r="C432" s="46">
        <f>0.232/1000</f>
        <v>2.32E-4</v>
      </c>
      <c r="D432" s="46" t="str">
        <f ca="1">IFERROR(__xludf.DUMMYFUNCTION("C426*IMPORTRANGE(""https://docs.google.com/spreadsheets/d/1xsp01RMmkav9iTy39Zaj_7tE9677EGlOJ14KU9TZn7I/"",""2003-2017!H3742"")"),"#REF!")</f>
        <v>#REF!</v>
      </c>
      <c r="E432" s="46" t="str">
        <f ca="1">IFERROR(__xludf.DUMMYFUNCTION("C426*IMPORTRANGE(""https://docs.google.com/spreadsheets/d/1xsp01RMmkav9iTy39Zaj_7tE9677EGlOJ14KU9TZn7I/"",""2003-2017!T3742"")"),"#REF!")</f>
        <v>#REF!</v>
      </c>
      <c r="F432" s="46" t="str">
        <f ca="1">IFERROR(__xludf.DUMMYFUNCTION("C426*IMPORTRANGE(""https://docs.google.com/spreadsheets/d/1xsp01RMmkav9iTy39Zaj_7tE9677EGlOJ14KU9TZn7I/"",""2003-2017!AC3742"")"),"#REF!")</f>
        <v>#REF!</v>
      </c>
      <c r="G432" s="49" t="s">
        <v>9</v>
      </c>
      <c r="K432" s="9"/>
      <c r="L432" s="2"/>
      <c r="M432" s="11"/>
      <c r="N432" s="11"/>
      <c r="O432" s="11"/>
      <c r="P432" s="11"/>
      <c r="Q432" s="1"/>
    </row>
    <row r="433" spans="1:17" ht="12.5" x14ac:dyDescent="0.25">
      <c r="A433" s="87" t="s">
        <v>401</v>
      </c>
      <c r="B433" s="69">
        <v>10</v>
      </c>
      <c r="C433" s="63">
        <f>44.9/1000</f>
        <v>4.4899999999999995E-2</v>
      </c>
      <c r="D433" s="63" t="str">
        <f ca="1">IFERROR(__xludf.DUMMYFUNCTION("C427*IMPORTRANGE(""https://docs.google.com/spreadsheets/d/1xsp01RMmkav9iTy39Zaj_7tE9677EGlOJ14KU9TZn7I/"",""2003-2017!H3766"")"),"#REF!")</f>
        <v>#REF!</v>
      </c>
      <c r="E433" s="63" t="str">
        <f ca="1">IFERROR(__xludf.DUMMYFUNCTION("C427*IMPORTRANGE(""https://docs.google.com/spreadsheets/d/1xsp01RMmkav9iTy39Zaj_7tE9677EGlOJ14KU9TZn7I/"",""2003-2017!T3766"")"),"#REF!")</f>
        <v>#REF!</v>
      </c>
      <c r="F433" s="63" t="str">
        <f ca="1">IFERROR(__xludf.DUMMYFUNCTION("C427*IMPORTRANGE(""https://docs.google.com/spreadsheets/d/1xsp01RMmkav9iTy39Zaj_7tE9677EGlOJ14KU9TZn7I/"",""2003-2017!AC3766"")"),"#REF!")</f>
        <v>#REF!</v>
      </c>
      <c r="G433" s="66" t="s">
        <v>9</v>
      </c>
      <c r="K433" s="9"/>
      <c r="L433" s="2"/>
      <c r="M433" s="11"/>
      <c r="N433" s="11"/>
      <c r="O433" s="11"/>
      <c r="P433" s="11"/>
      <c r="Q433" s="1"/>
    </row>
    <row r="434" spans="1:17" ht="12.5" x14ac:dyDescent="0.25">
      <c r="A434" s="88" t="s">
        <v>402</v>
      </c>
      <c r="B434" s="48">
        <v>6</v>
      </c>
      <c r="C434" s="46">
        <f>46.3/1000</f>
        <v>4.6299999999999994E-2</v>
      </c>
      <c r="D434" s="46" t="str">
        <f ca="1">IFERROR(__xludf.DUMMYFUNCTION("C429*IMPORTRANGE(""https://docs.google.com/spreadsheets/d/1xsp01RMmkav9iTy39Zaj_7tE9677EGlOJ14KU9TZn7I/"",""2003-2017!H3788"")"),"#REF!")</f>
        <v>#REF!</v>
      </c>
      <c r="E434" s="46" t="str">
        <f ca="1">IFERROR(__xludf.DUMMYFUNCTION("C429*IMPORTRANGE(""https://docs.google.com/spreadsheets/d/1xsp01RMmkav9iTy39Zaj_7tE9677EGlOJ14KU9TZn7I/"",""2003-2017!T3788"")"),"#REF!")</f>
        <v>#REF!</v>
      </c>
      <c r="F434" s="46" t="str">
        <f ca="1">IFERROR(__xludf.DUMMYFUNCTION("C429*IMPORTRANGE(""https://docs.google.com/spreadsheets/d/1xsp01RMmkav9iTy39Zaj_7tE9677EGlOJ14KU9TZn7I/"",""2003-2017!AC3788"")"),"#REF!")</f>
        <v>#REF!</v>
      </c>
      <c r="G434" s="49" t="s">
        <v>9</v>
      </c>
      <c r="K434" s="9"/>
      <c r="L434" s="2"/>
      <c r="M434" s="11"/>
      <c r="N434" s="11"/>
      <c r="O434" s="11"/>
      <c r="P434" s="11"/>
      <c r="Q434" s="1"/>
    </row>
    <row r="435" spans="1:17" ht="12.5" x14ac:dyDescent="0.25">
      <c r="A435" s="87" t="s">
        <v>403</v>
      </c>
      <c r="B435" s="69">
        <v>6</v>
      </c>
      <c r="C435" s="63">
        <f>30.5/1000</f>
        <v>3.0499999999999999E-2</v>
      </c>
      <c r="D435" s="63" t="str">
        <f ca="1">IFERROR(__xludf.DUMMYFUNCTION("C390*IMPORTRANGE(""https://docs.google.com/spreadsheets/d/1xsp01RMmkav9iTy39Zaj_7tE9677EGlOJ14KU9TZn7I/"",""2003-2017!H3811"")"),"#REF!")</f>
        <v>#REF!</v>
      </c>
      <c r="E435" s="63" t="str">
        <f ca="1">IFERROR(__xludf.DUMMYFUNCTION("C390*IMPORTRANGE(""https://docs.google.com/spreadsheets/d/1xsp01RMmkav9iTy39Zaj_7tE9677EGlOJ14KU9TZn7I/"",""2003-2017!T3811"")"),"#REF!")</f>
        <v>#REF!</v>
      </c>
      <c r="F435" s="63" t="str">
        <f ca="1">IFERROR(__xludf.DUMMYFUNCTION("C390*IMPORTRANGE(""https://docs.google.com/spreadsheets/d/1xsp01RMmkav9iTy39Zaj_7tE9677EGlOJ14KU9TZn7I/"",""2003-2017!AC3811"")"),"#REF!")</f>
        <v>#REF!</v>
      </c>
      <c r="G435" s="66" t="s">
        <v>9</v>
      </c>
      <c r="K435" s="9"/>
      <c r="L435" s="2"/>
      <c r="M435" s="11"/>
      <c r="N435" s="11"/>
      <c r="O435" s="11"/>
      <c r="P435" s="11"/>
      <c r="Q435" s="1"/>
    </row>
    <row r="436" spans="1:17" ht="12.5" x14ac:dyDescent="0.25">
      <c r="A436" s="88" t="s">
        <v>404</v>
      </c>
      <c r="B436" s="53">
        <v>7</v>
      </c>
      <c r="C436" s="46">
        <f>25.7/1000</f>
        <v>2.5700000000000001E-2</v>
      </c>
      <c r="D436" s="46" t="str">
        <f ca="1">IFERROR(__xludf.DUMMYFUNCTION("C430*IMPORTRANGE(""https://docs.google.com/spreadsheets/d/1xsp01RMmkav9iTy39Zaj_7tE9677EGlOJ14KU9TZn7I/"",""2003-2017!H3834"")"),"#REF!")</f>
        <v>#REF!</v>
      </c>
      <c r="E436" s="46" t="str">
        <f ca="1">IFERROR(__xludf.DUMMYFUNCTION("C430*IMPORTRANGE(""https://docs.google.com/spreadsheets/d/1xsp01RMmkav9iTy39Zaj_7tE9677EGlOJ14KU9TZn7I/"",""2003-2017!T3834"")"),"#REF!")</f>
        <v>#REF!</v>
      </c>
      <c r="F436" s="46" t="str">
        <f ca="1">IFERROR(__xludf.DUMMYFUNCTION("C430*IMPORTRANGE(""https://docs.google.com/spreadsheets/d/1xsp01RMmkav9iTy39Zaj_7tE9677EGlOJ14KU9TZn7I/"",""2003-2017!AC3834"")"),"#REF!")</f>
        <v>#REF!</v>
      </c>
      <c r="G436" s="49" t="s">
        <v>9</v>
      </c>
      <c r="K436" s="9"/>
      <c r="L436" s="2"/>
      <c r="M436" s="11"/>
      <c r="N436" s="11"/>
      <c r="O436" s="11"/>
      <c r="P436" s="11"/>
      <c r="Q436" s="1"/>
    </row>
    <row r="437" spans="1:17" ht="12.5" x14ac:dyDescent="0.25">
      <c r="A437" s="87" t="s">
        <v>405</v>
      </c>
      <c r="B437" s="69">
        <v>6</v>
      </c>
      <c r="C437" s="63">
        <f>3872.8/1000</f>
        <v>3.8728000000000002</v>
      </c>
      <c r="D437" s="63" t="str">
        <f ca="1">IFERROR(__xludf.DUMMYFUNCTION("C431*IMPORTRANGE(""https://docs.google.com/spreadsheets/d/1xsp01RMmkav9iTy39Zaj_7tE9677EGlOJ14KU9TZn7I/"",""2003-2017!H3856"")"),"#REF!")</f>
        <v>#REF!</v>
      </c>
      <c r="E437" s="63" t="str">
        <f ca="1">IFERROR(__xludf.DUMMYFUNCTION("C431*IMPORTRANGE(""https://docs.google.com/spreadsheets/d/1xsp01RMmkav9iTy39Zaj_7tE9677EGlOJ14KU9TZn7I/"",""2003-2017!T3856"")"),"#REF!")</f>
        <v>#REF!</v>
      </c>
      <c r="F437" s="63" t="str">
        <f ca="1">IFERROR(__xludf.DUMMYFUNCTION("C431*IMPORTRANGE(""https://docs.google.com/spreadsheets/d/1xsp01RMmkav9iTy39Zaj_7tE9677EGlOJ14KU9TZn7I/"",""2003-2017!AC3856"")"),"#REF!")</f>
        <v>#REF!</v>
      </c>
      <c r="G437" s="66" t="s">
        <v>9</v>
      </c>
      <c r="K437" s="9"/>
      <c r="L437" s="2"/>
      <c r="M437" s="11"/>
      <c r="N437" s="11"/>
      <c r="O437" s="11"/>
      <c r="P437" s="11"/>
      <c r="Q437" s="1"/>
    </row>
    <row r="438" spans="1:17" ht="12.5" x14ac:dyDescent="0.25">
      <c r="A438" s="76">
        <v>2018</v>
      </c>
      <c r="B438" s="60"/>
      <c r="C438" s="60"/>
      <c r="D438" s="75"/>
      <c r="E438" s="75"/>
      <c r="F438" s="75"/>
      <c r="G438" s="77"/>
      <c r="K438" s="9"/>
      <c r="L438" s="2"/>
      <c r="M438" s="11"/>
      <c r="N438" s="11" t="s">
        <v>406</v>
      </c>
      <c r="O438" s="11"/>
      <c r="P438" s="11"/>
      <c r="Q438" s="1"/>
    </row>
    <row r="439" spans="1:17" ht="12.5" x14ac:dyDescent="0.25">
      <c r="A439" s="78">
        <v>43118</v>
      </c>
      <c r="B439" s="53">
        <v>9</v>
      </c>
      <c r="C439" s="46">
        <f>776.7/1000</f>
        <v>0.77670000000000006</v>
      </c>
      <c r="D439" s="46">
        <f ca="1">IFERROR(__xludf.DUMMYFUNCTION("C433*IMPORTRANGE(""https://docs.google.com/spreadsheets/d/1xsp01RMmkav9iTy39Zaj_7tE9677EGlOJ14KU9TZn7I"",""H25"")"),0.637041573)</f>
        <v>0.63704157299999997</v>
      </c>
      <c r="E439" s="46">
        <f ca="1">IFERROR(__xludf.DUMMYFUNCTION("C433*IMPORTRANGE(""https://docs.google.com/spreadsheets/d/1xsp01RMmkav9iTy39Zaj_7tE9677EGlOJ14KU9TZn7I/"",""T25"")"),0.562897791)</f>
        <v>0.56289779100000004</v>
      </c>
      <c r="F439" s="46">
        <f ca="1">IFERROR(__xludf.DUMMYFUNCTION("C433*IMPORTRANGE(""https://docs.google.com/spreadsheets/d/1xsp01RMmkav9iTy39Zaj_7tE9677EGlOJ14KU9TZn7I"",""AC25"")"),86.29137)</f>
        <v>86.291370000000001</v>
      </c>
      <c r="G439" s="49" t="s">
        <v>9</v>
      </c>
      <c r="K439" s="12"/>
      <c r="L439" s="5"/>
      <c r="M439" s="13"/>
      <c r="N439" s="13"/>
      <c r="O439" s="13"/>
      <c r="P439" s="13"/>
      <c r="Q439" s="1"/>
    </row>
    <row r="440" spans="1:17" ht="12.5" x14ac:dyDescent="0.25">
      <c r="A440" s="79">
        <v>44975</v>
      </c>
      <c r="B440" s="69">
        <v>5</v>
      </c>
      <c r="C440" s="63">
        <f>14.9/1000</f>
        <v>1.49E-2</v>
      </c>
      <c r="D440" s="63">
        <f ca="1">IFERROR(__xludf.DUMMYFUNCTION("C434*IMPORTRANGE(""https://docs.google.com/spreadsheets/d/1xsp01RMmkav9iTy39Zaj_7tE9677EGlOJ14KU9TZn7I"",""H46"")"),0.0120701175)</f>
        <v>1.20701175E-2</v>
      </c>
      <c r="E440" s="63">
        <f ca="1">IFERROR(__xludf.DUMMYFUNCTION("C434*IMPORTRANGE(""https://docs.google.com/spreadsheets/d/1xsp01RMmkav9iTy39Zaj_7tE9677EGlOJ14KU9TZn7I"",""T46"")"),0.01067138)</f>
        <v>1.0671379999999999E-2</v>
      </c>
      <c r="F440" s="63">
        <f ca="1">IFERROR(__xludf.DUMMYFUNCTION("C434*IMPORTRANGE(""https://docs.google.com/spreadsheets/d/1xsp01RMmkav9iTy39Zaj_7tE9677EGlOJ14KU9TZn7I"",""AC46"")"),1.60412655)</f>
        <v>1.6041265499999999</v>
      </c>
      <c r="G440" s="66" t="s">
        <v>9</v>
      </c>
      <c r="I440" s="3"/>
      <c r="K440" s="12"/>
      <c r="L440" s="5"/>
      <c r="M440" s="13"/>
      <c r="N440" s="13"/>
      <c r="O440" s="13"/>
      <c r="P440" s="13"/>
      <c r="Q440" s="1"/>
    </row>
    <row r="441" spans="1:17" ht="12.5" x14ac:dyDescent="0.25">
      <c r="A441" s="78">
        <v>45003</v>
      </c>
      <c r="B441" s="53">
        <v>10</v>
      </c>
      <c r="C441" s="46">
        <f>562.6/1000</f>
        <v>0.56259999999999999</v>
      </c>
      <c r="D441" s="46">
        <f ca="1">IFERROR(__xludf.DUMMYFUNCTION("C435*IMPORTRANGE(""https://docs.google.com/spreadsheets/d/1xsp01RMmkav9iTy39Zaj_7tE9677EGlOJ14KU9TZn7I"",""H69"")"),0.456257348)</f>
        <v>0.45625734800000001</v>
      </c>
      <c r="E441" s="46">
        <f ca="1">IFERROR(__xludf.DUMMYFUNCTION("C435*IMPORTRANGE(""https://docs.google.com/spreadsheets/d/1xsp01RMmkav9iTy39Zaj_7tE9677EGlOJ14KU9TZn7I"",""T69"")"),0.403080396)</f>
        <v>0.40308039600000001</v>
      </c>
      <c r="F441" s="46">
        <f ca="1">IFERROR(__xludf.DUMMYFUNCTION("C435*IMPORTRANGE(""https://docs.google.com/spreadsheets/d/1xsp01RMmkav9iTy39Zaj_7tE9677EGlOJ14KU9TZn7I"",""AC69"")"),59.7337736999999)</f>
        <v>59.733773699999901</v>
      </c>
      <c r="G441" s="49" t="s">
        <v>9</v>
      </c>
      <c r="K441" s="12"/>
      <c r="L441" s="5"/>
      <c r="M441" s="13"/>
      <c r="N441" s="13"/>
      <c r="O441" s="13"/>
      <c r="P441" s="13"/>
      <c r="Q441" s="1"/>
    </row>
    <row r="442" spans="1:17" ht="12.5" x14ac:dyDescent="0.25">
      <c r="A442" s="79">
        <v>45034</v>
      </c>
      <c r="B442" s="69">
        <v>8</v>
      </c>
      <c r="C442" s="63">
        <f>156.5/1000</f>
        <v>0.1565</v>
      </c>
      <c r="D442" s="63">
        <f ca="1">IFERROR(__xludf.DUMMYFUNCTION("C436*IMPORTRANGE(""https://docs.google.com/spreadsheets/d/1xsp01RMmkav9iTy39Zaj_7tE9677EGlOJ14KU9TZn7I"",""H91"")"),0.127311185)</f>
        <v>0.12731118499999999</v>
      </c>
      <c r="E442" s="63">
        <f ca="1">IFERROR(__xludf.DUMMYFUNCTION("C436*IMPORTRANGE(""https://docs.google.com/spreadsheets/d/1xsp01RMmkav9iTy39Zaj_7tE9677EGlOJ14KU9TZn7I"",""T91"")"),0.11109935)</f>
        <v>0.11109935</v>
      </c>
      <c r="F442" s="63">
        <f ca="1">IFERROR(__xludf.DUMMYFUNCTION("C436*IMPORTRANGE(""https://docs.google.com/spreadsheets/d/1xsp01RMmkav9iTy39Zaj_7tE9677EGlOJ14KU9TZn7I"",""AC91"")"),16.7631845)</f>
        <v>16.763184500000001</v>
      </c>
      <c r="G442" s="66" t="s">
        <v>9</v>
      </c>
      <c r="K442" s="12"/>
      <c r="L442" s="5"/>
      <c r="M442" s="13"/>
      <c r="N442" s="13"/>
      <c r="O442" s="13"/>
      <c r="P442" s="13"/>
      <c r="Q442" s="1"/>
    </row>
    <row r="443" spans="1:17" ht="12.5" x14ac:dyDescent="0.25">
      <c r="A443" s="78">
        <v>45064</v>
      </c>
      <c r="B443" s="53">
        <v>11</v>
      </c>
      <c r="C443" s="46">
        <f>124.2/1000</f>
        <v>0.1242</v>
      </c>
      <c r="D443" s="46">
        <f ca="1">IFERROR(__xludf.DUMMYFUNCTION("C437*IMPORTRANGE(""https://docs.google.com/spreadsheets/d/1xsp01RMmkav9iTy39Zaj_7tE9677EGlOJ14KU9TZn7I/"",""H115"")"),0.105068232)</f>
        <v>0.105068232</v>
      </c>
      <c r="E443" s="46">
        <f ca="1">IFERROR(__xludf.DUMMYFUNCTION("C437*IMPORTRANGE(""https://docs.google.com/spreadsheets/d/1xsp01RMmkav9iTy39Zaj_7tE9677EGlOJ14KU9TZn7I"",""T115"")"),0.091840932)</f>
        <v>9.1840932E-2</v>
      </c>
      <c r="F443" s="46">
        <f ca="1">IFERROR(__xludf.DUMMYFUNCTION("C437*IMPORTRANGE(""https://docs.google.com/spreadsheets/d/1xsp01RMmkav9iTy39Zaj_7tE9677EGlOJ14KU9TZn7I"",""AC115"")"),13.6151766)</f>
        <v>13.6151766</v>
      </c>
      <c r="G443" s="49" t="s">
        <v>9</v>
      </c>
      <c r="K443" s="12"/>
      <c r="L443" s="5"/>
      <c r="M443" s="13"/>
      <c r="N443" s="13"/>
      <c r="O443" s="13"/>
      <c r="P443" s="13"/>
      <c r="Q443" s="1"/>
    </row>
    <row r="444" spans="1:17" ht="12.5" x14ac:dyDescent="0.25">
      <c r="A444" s="79">
        <v>45095</v>
      </c>
      <c r="B444" s="69">
        <v>9</v>
      </c>
      <c r="C444" s="63">
        <f>12/1000</f>
        <v>1.2E-2</v>
      </c>
      <c r="D444" s="63">
        <f ca="1">IFERROR(__xludf.DUMMYFUNCTION("C438*IMPORTRANGE(""https://docs.google.com/spreadsheets/d/1xsp01RMmkav9iTy39Zaj_7tE9677EGlOJ14KU9TZn7I/"",""H137"")"),0.010284)</f>
        <v>1.0284E-2</v>
      </c>
      <c r="E444" s="63">
        <f ca="1">IFERROR(__xludf.DUMMYFUNCTION("C438*IMPORTRANGE(""https://docs.google.com/spreadsheets/d/1xsp01RMmkav9iTy39Zaj_7tE9677EGlOJ14KU9TZn7I"",""T137"")"),0.0090372)</f>
        <v>9.0372000000000004E-3</v>
      </c>
      <c r="F444" s="63">
        <f ca="1">IFERROR(__xludf.DUMMYFUNCTION("C438*IMPORTRANGE(""https://docs.google.com/spreadsheets/d/1xsp01RMmkav9iTy39Zaj_7tE9677EGlOJ14KU9TZn7I"",""AC137"")"),1.321164)</f>
        <v>1.321164</v>
      </c>
      <c r="G444" s="66" t="s">
        <v>9</v>
      </c>
      <c r="K444" s="12"/>
      <c r="L444" s="5"/>
      <c r="M444" s="13"/>
      <c r="N444" s="13"/>
      <c r="O444" s="13"/>
      <c r="P444" s="13"/>
      <c r="Q444" s="1"/>
    </row>
    <row r="445" spans="1:17" ht="12.5" x14ac:dyDescent="0.25">
      <c r="A445" s="78">
        <v>45125</v>
      </c>
      <c r="B445" s="53">
        <v>6</v>
      </c>
      <c r="C445" s="46">
        <f>34.7/1000</f>
        <v>3.4700000000000002E-2</v>
      </c>
      <c r="D445" s="46">
        <f ca="1">IFERROR(__xludf.DUMMYFUNCTION("C439*IMPORTRANGE(""https://docs.google.com/spreadsheets/d/1xsp01RMmkav9iTy39Zaj_7tE9677EGlOJ14KU9TZn7I/)"",""H160"")"),0.029711875)</f>
        <v>2.9711874999999999E-2</v>
      </c>
      <c r="E445" s="46">
        <f ca="1">IFERROR(__xludf.DUMMYFUNCTION("C439*IMPORTRANGE(""https://docs.google.com/spreadsheets/d/1xsp01RMmkav9iTy39Zaj_7tE9677EGlOJ14KU9TZn7I"",""T160"")"),0.02631301)</f>
        <v>2.6313010000000001E-2</v>
      </c>
      <c r="F445" s="46">
        <f ca="1">IFERROR(__xludf.DUMMYFUNCTION("C439*IMPORTRANGE(""https://docs.google.com/spreadsheets/d/1xsp01RMmkav9iTy39Zaj_7tE9677EGlOJ14KU9TZn7I"",""AC160"")"),3.85251545)</f>
        <v>3.8525154499999998</v>
      </c>
      <c r="G445" s="49" t="s">
        <v>9</v>
      </c>
      <c r="K445" s="12"/>
      <c r="L445" s="5"/>
      <c r="M445" s="13"/>
      <c r="N445" s="13"/>
      <c r="O445" s="13"/>
      <c r="P445" s="13"/>
      <c r="Q445" s="1"/>
    </row>
    <row r="446" spans="1:17" ht="12.5" x14ac:dyDescent="0.25">
      <c r="A446" s="79">
        <v>45156</v>
      </c>
      <c r="B446" s="69">
        <v>4</v>
      </c>
      <c r="C446" s="63">
        <f>23.8/1000</f>
        <v>2.3800000000000002E-2</v>
      </c>
      <c r="D446" s="63">
        <f ca="1">IFERROR(__xludf.DUMMYFUNCTION("C440*IMPORTRANGE(""https://docs.google.com/spreadsheets/d/1xsp01RMmkav9iTy39Zaj_7tE9677EGlOJ14KU9TZn7I/"",""H184"")"),0.02055844)</f>
        <v>2.0558440000000001E-2</v>
      </c>
      <c r="E446" s="63">
        <f ca="1">IFERROR(__xludf.DUMMYFUNCTION("C440*IMPORTRANGE(""https://docs.google.com/spreadsheets/d/1xsp01RMmkav9iTy39Zaj_7tE9677EGlOJ14KU9TZn7I"", ""T184"")"),0.01847594)</f>
        <v>1.847594E-2</v>
      </c>
      <c r="F446" s="63">
        <f ca="1">IFERROR(__xludf.DUMMYFUNCTION("C440*IMPORTRANGE(""https://docs.google.com/spreadsheets/d/1xsp01RMmkav9iTy39Zaj_7tE9677EGlOJ14KU9TZn7I"",""AC184"")"),2.6450606)</f>
        <v>2.6450605999999999</v>
      </c>
      <c r="G446" s="66" t="s">
        <v>9</v>
      </c>
      <c r="K446" s="12"/>
      <c r="L446" s="5"/>
      <c r="M446" s="13"/>
      <c r="N446" s="13"/>
      <c r="O446" s="13"/>
      <c r="P446" s="13"/>
      <c r="Q446" s="1"/>
    </row>
    <row r="447" spans="1:17" ht="12.5" x14ac:dyDescent="0.25">
      <c r="A447" s="78">
        <v>45187</v>
      </c>
      <c r="B447" s="53">
        <v>5</v>
      </c>
      <c r="C447" s="46">
        <f>25.7/1000</f>
        <v>2.5700000000000001E-2</v>
      </c>
      <c r="D447" s="46">
        <f ca="1">IFERROR(__xludf.DUMMYFUNCTION("C441*IMPORTRANGE(""https://docs.google.com/spreadsheets/d/1xsp01RMmkav9iTy39Zaj_7tE9677EGlOJ14KU9TZn7I/|"",""H205"")"),0.022086066)</f>
        <v>2.2086066000000001E-2</v>
      </c>
      <c r="E447" s="46">
        <f ca="1">IFERROR(__xludf.DUMMYFUNCTION("C441*IMPORTRANGE(""https://docs.google.com/spreadsheets/d/1xsp01RMmkav9iTy39Zaj_7tE9677EGlOJ14KU9TZn7I"", ""T205"")"),0.019654332)</f>
        <v>1.9654332E-2</v>
      </c>
      <c r="F447" s="46">
        <f ca="1">IFERROR(__xludf.DUMMYFUNCTION("C441*IMPORTRANGE(""https://docs.google.com/spreadsheets/d/1xsp01RMmkav9iTy39Zaj_7tE9677EGlOJ14KU9TZn7I"",""AC205"")"),2.87381255)</f>
        <v>2.8738125499999998</v>
      </c>
      <c r="G447" s="49" t="s">
        <v>9</v>
      </c>
      <c r="K447" s="12"/>
      <c r="L447" s="5"/>
      <c r="M447" s="13"/>
      <c r="N447" s="13"/>
      <c r="O447" s="13"/>
      <c r="P447" s="13"/>
      <c r="Q447" s="1"/>
    </row>
    <row r="448" spans="1:17" ht="12.5" x14ac:dyDescent="0.25">
      <c r="A448" s="79">
        <v>45217</v>
      </c>
      <c r="B448" s="69">
        <v>8</v>
      </c>
      <c r="C448" s="63">
        <f>14/1000</f>
        <v>1.4E-2</v>
      </c>
      <c r="D448" s="63">
        <f ca="1">IFERROR(__xludf.DUMMYFUNCTION("C442*IMPORTRANGE(""https://docs.google.com/spreadsheets/d/1xsp01RMmkav9iTy39Zaj_7tE9677EGlOJ14KU9TZn7I/"",""H229"")"),0.01216656)</f>
        <v>1.216656E-2</v>
      </c>
      <c r="E448" s="63">
        <f ca="1">IFERROR(__xludf.DUMMYFUNCTION("C442*IMPORTRANGE(""https://docs.google.com/spreadsheets/d/1xsp01RMmkav9iTy39Zaj_7tE9677EGlOJ14KU9TZn7I"",""T229"")"),0.0107317)</f>
        <v>1.07317E-2</v>
      </c>
      <c r="F448" s="63">
        <f ca="1">IFERROR(__xludf.DUMMYFUNCTION("C442*IMPORTRANGE(""https://docs.google.com/spreadsheets/d/1xsp01RMmkav9iTy39Zaj_7tE9677EGlOJ14KU9TZn7I"",""AC229"")"),1.57472)</f>
        <v>1.5747199999999999</v>
      </c>
      <c r="G448" s="66" t="s">
        <v>9</v>
      </c>
      <c r="K448" s="12"/>
      <c r="L448" s="5"/>
      <c r="M448" s="13"/>
      <c r="N448" s="13"/>
      <c r="O448" s="13"/>
      <c r="P448" s="13"/>
      <c r="Q448" s="1"/>
    </row>
    <row r="449" spans="1:17" ht="12.5" x14ac:dyDescent="0.25">
      <c r="A449" s="78">
        <v>45248</v>
      </c>
      <c r="B449" s="53">
        <v>11</v>
      </c>
      <c r="C449" s="46">
        <f>1930.3/1000</f>
        <v>1.9302999999999999</v>
      </c>
      <c r="D449" s="46">
        <f ca="1">IFERROR(__xludf.DUMMYFUNCTION("C443*IMPORTRANGE(""https://docs.google.com/spreadsheets/d/1xsp01RMmkav9iTy39Zaj_7tE9677EGlOJ14KU9TZn7I/"",""H252"")"),1.697640941)</f>
        <v>1.697640941</v>
      </c>
      <c r="E449" s="46">
        <f ca="1">IFERROR(__xludf.DUMMYFUNCTION("C443*IMPORTRANGE(""https://docs.google.com/spreadsheets/d/1xsp01RMmkav9iTy39Zaj_7tE9677EGlOJ14KU9TZn7I"", ""T252"")"),1.5011460525)</f>
        <v>1.5011460525</v>
      </c>
      <c r="F449" s="46">
        <f ca="1">IFERROR(__xludf.DUMMYFUNCTION("C443*IMPORTRANGE(""https://docs.google.com/spreadsheets/d/1xsp01RMmkav9iTy39Zaj_7tE9677EGlOJ14KU9TZn7I"",""AC252"")"),218.8709261)</f>
        <v>218.87092609999999</v>
      </c>
      <c r="G449" s="49" t="s">
        <v>9</v>
      </c>
      <c r="K449" s="12"/>
      <c r="L449" s="5"/>
      <c r="M449" s="13"/>
      <c r="N449" s="13"/>
      <c r="O449" s="13"/>
      <c r="P449" s="13"/>
      <c r="Q449" s="1"/>
    </row>
    <row r="450" spans="1:17" ht="12.5" x14ac:dyDescent="0.25">
      <c r="A450" s="79">
        <v>45278</v>
      </c>
      <c r="B450" s="69">
        <v>7</v>
      </c>
      <c r="C450" s="63">
        <f>22.3/1000</f>
        <v>2.23E-2</v>
      </c>
      <c r="D450" s="63">
        <f ca="1">IFERROR(__xludf.DUMMYFUNCTION("C444*IMPORTRANGE(""https://docs.google.com/spreadsheets/d/1xsp01RMmkav9iTy39Zaj_7tE9677EGlOJ14KU9TZn7I/"",""H273"")"),0.019608167)</f>
        <v>1.9608166999999999E-2</v>
      </c>
      <c r="E450" s="63">
        <f ca="1">IFERROR(__xludf.DUMMYFUNCTION("C444*IMPORTRANGE(""https://docs.google.com/spreadsheets/d/1xsp01RMmkav9iTy39Zaj_7tE9677EGlOJ14KU9TZn7I"", ""T273"")"),0.01762146)</f>
        <v>1.7621459999999999E-2</v>
      </c>
      <c r="F450" s="63">
        <f ca="1">IFERROR(__xludf.DUMMYFUNCTION("C444*IMPORTRANGE(""https://docs.google.com/spreadsheets/d/1xsp01RMmkav9iTy39Zaj_7tE9677EGlOJ14KU9TZn7I"",""AC273"")"),2.5129647)</f>
        <v>2.5129646999999999</v>
      </c>
      <c r="G450" s="66" t="s">
        <v>9</v>
      </c>
      <c r="K450" s="12"/>
      <c r="L450" s="5"/>
      <c r="M450" s="13"/>
      <c r="N450" s="13"/>
      <c r="O450" s="13"/>
      <c r="P450" s="13"/>
      <c r="Q450" s="1"/>
    </row>
    <row r="451" spans="1:17" ht="12.5" x14ac:dyDescent="0.25">
      <c r="A451" s="76">
        <v>2019</v>
      </c>
      <c r="B451" s="60"/>
      <c r="C451" s="75"/>
      <c r="D451" s="75"/>
      <c r="E451" s="75"/>
      <c r="F451" s="75"/>
      <c r="G451" s="77"/>
      <c r="K451" s="9"/>
      <c r="L451" s="2"/>
      <c r="M451" s="1"/>
      <c r="N451" s="11"/>
      <c r="O451" s="11"/>
      <c r="P451" s="11"/>
      <c r="Q451" s="1"/>
    </row>
    <row r="452" spans="1:17" ht="12.5" x14ac:dyDescent="0.25">
      <c r="A452" s="78">
        <v>43484</v>
      </c>
      <c r="B452" s="53">
        <v>10</v>
      </c>
      <c r="C452" s="46">
        <f>61.8/1000</f>
        <v>6.1799999999999994E-2</v>
      </c>
      <c r="D452" s="46">
        <f ca="1">IFERROR(__xludf.DUMMYFUNCTION("C446*IMPORTRANGE(""https://docs.google.com/spreadsheets/d/1xsp01RMmkav9iTy39Zaj_7tE9677EGlOJ14KU9TZn7I/"",""H298"")"),0.05413062)</f>
        <v>5.4130619999999997E-2</v>
      </c>
      <c r="E452" s="46">
        <f ca="1">IFERROR(__xludf.DUMMYFUNCTION("C446*IMPORTRANGE(""https://docs.google.com/spreadsheets/d/1xsp01RMmkav9iTy39Zaj_7tE9677EGlOJ14KU9TZn7I"",""T298"")"),0.0480105659999999)</f>
        <v>4.80105659999999E-2</v>
      </c>
      <c r="F452" s="46">
        <f ca="1">IFERROR(__xludf.DUMMYFUNCTION("C446*IMPORTRANGE(""https://docs.google.com/spreadsheets/d/1xsp01RMmkav9iTy39Zaj_7tE9677EGlOJ14KU9TZn7I"",""AC298"")"),6.7384866)</f>
        <v>6.7384865999999999</v>
      </c>
      <c r="G452" s="49" t="s">
        <v>9</v>
      </c>
    </row>
    <row r="453" spans="1:17" ht="12.5" x14ac:dyDescent="0.25">
      <c r="A453" s="79">
        <v>43515</v>
      </c>
      <c r="B453" s="69">
        <v>7</v>
      </c>
      <c r="C453" s="63">
        <f>69.9/1000</f>
        <v>6.9900000000000004E-2</v>
      </c>
      <c r="D453" s="63">
        <f ca="1">IFERROR(__xludf.DUMMYFUNCTION("C447*IMPORTRANGE(""https://docs.google.com/spreadsheets/d/1xsp01RMmkav9iTy39Zaj_7tE9677EGlOJ14KU9TZn7I"",""H319"")"),0.06162384)</f>
        <v>6.1623839999999999E-2</v>
      </c>
      <c r="E453" s="63">
        <f ca="1">IFERROR(__xludf.DUMMYFUNCTION("C447*IMPORTRANGE(""https://docs.google.com/spreadsheets/d/1xsp01RMmkav9iTy39Zaj_7tE9677EGlOJ14KU9TZn7I"",""T319"")"),0.0537939915)</f>
        <v>5.3793991499999999E-2</v>
      </c>
      <c r="F453" s="63">
        <f ca="1">IFERROR(__xludf.DUMMYFUNCTION("C447*IMPORTRANGE(""https://docs.google.com/spreadsheets/d/1xsp01RMmkav9iTy39Zaj_7tE9677EGlOJ14KU9TZn7I"",""AC319"")"),7.7272353)</f>
        <v>7.7272353000000003</v>
      </c>
      <c r="G453" s="66" t="s">
        <v>9</v>
      </c>
    </row>
    <row r="454" spans="1:17" ht="12.5" x14ac:dyDescent="0.25">
      <c r="A454" s="78">
        <v>43543</v>
      </c>
      <c r="B454" s="53">
        <v>15</v>
      </c>
      <c r="C454" s="46">
        <f>7339.1/1000</f>
        <v>7.3391000000000002</v>
      </c>
      <c r="D454" s="46">
        <f ca="1">IFERROR(__xludf.DUMMYFUNCTION("C448*IMPORTRANGE(""https://docs.google.com/spreadsheets/d/1xsp01RMmkav9iTy39Zaj_7tE9677EGlOJ14KU9TZn7I"",""H341"")"),6.486736926)</f>
        <v>6.4867369259999998</v>
      </c>
      <c r="E454" s="46">
        <f ca="1">IFERROR(__xludf.DUMMYFUNCTION("C448*IMPORTRANGE(""https://docs.google.com/spreadsheets/d/1xsp01RMmkav9iTy39Zaj_7tE9677EGlOJ14KU9TZn7I"",""T341"")"),5.55716652)</f>
        <v>5.55716652</v>
      </c>
      <c r="F454" s="46">
        <f ca="1">IFERROR(__xludf.DUMMYFUNCTION("C448*IMPORTRANGE(""https://docs.google.com/spreadsheets/d/1xsp01RMmkav9iTy39Zaj_7tE9677EGlOJ14KU9TZn7I"",""AC341"")"),817.1500722)</f>
        <v>817.15007219999995</v>
      </c>
      <c r="G454" s="49" t="s">
        <v>9</v>
      </c>
    </row>
    <row r="455" spans="1:17" ht="12.5" x14ac:dyDescent="0.25">
      <c r="A455" s="79">
        <v>43574</v>
      </c>
      <c r="B455" s="69">
        <v>9</v>
      </c>
      <c r="C455" s="63">
        <f>862.8/1000</f>
        <v>0.8627999999999999</v>
      </c>
      <c r="D455" s="63">
        <f ca="1">IFERROR(__xludf.DUMMYFUNCTION("C449*IMPORTRANGE(""https://docs.google.com/spreadsheets/d/1xsp01RMmkav9iTy39Zaj_7tE9677EGlOJ14KU9TZn7I"",""H364"")"),0.767598647999999)</f>
        <v>0.767598647999999</v>
      </c>
      <c r="E455" s="63">
        <f ca="1">IFERROR(__xludf.DUMMYFUNCTION("C449*IMPORTRANGE(""https://docs.google.com/spreadsheets/d/1xsp01RMmkav9iTy39Zaj_7tE9677EGlOJ14KU9TZn7I"",""T364"")"),0.661513073999999)</f>
        <v>0.66151307399999904</v>
      </c>
      <c r="F455" s="63">
        <f ca="1">IFERROR(__xludf.DUMMYFUNCTION("C449*IMPORTRANGE(""https://docs.google.com/spreadsheets/d/1xsp01RMmkav9iTy39Zaj_7tE9677EGlOJ14KU9TZn7I"",""AC364"")"),96.346719)</f>
        <v>96.346718999999993</v>
      </c>
      <c r="G455" s="66" t="s">
        <v>9</v>
      </c>
    </row>
    <row r="456" spans="1:17" ht="12.5" x14ac:dyDescent="0.25">
      <c r="A456" s="89">
        <v>43604</v>
      </c>
      <c r="B456" s="53">
        <v>5</v>
      </c>
      <c r="C456" s="46">
        <f>50.9/1000</f>
        <v>5.0900000000000001E-2</v>
      </c>
      <c r="D456" s="46">
        <f ca="1">IFERROR(__xludf.DUMMYFUNCTION("C450*IMPORTRANGE(""https://docs.google.com/spreadsheets/d/1xsp01RMmkav9iTy39Zaj_7tE9677EGlOJ14KU9TZn7I"",""H388"")"),0.045477114)</f>
        <v>4.5477113999999999E-2</v>
      </c>
      <c r="E456" s="46">
        <f ca="1">IFERROR(__xludf.DUMMYFUNCTION("C450*IMPORTRANGE(""https://docs.google.com/spreadsheets/d/1xsp01RMmkav9iTy39Zaj_7tE9677EGlOJ14KU9TZn7I"",""T388"")"),0.039527922)</f>
        <v>3.9527922E-2</v>
      </c>
      <c r="F456" s="46">
        <f ca="1">IFERROR(__xludf.DUMMYFUNCTION("C450*IMPORTRANGE(""https://docs.google.com/spreadsheets/d/1xsp01RMmkav9iTy39Zaj_7tE9677EGlOJ14KU9TZn7I"",""AC388"")"),5.5908051)</f>
        <v>5.5908050999999999</v>
      </c>
      <c r="G456" s="49" t="s">
        <v>9</v>
      </c>
    </row>
    <row r="457" spans="1:17" ht="12.5" x14ac:dyDescent="0.25">
      <c r="A457" s="79">
        <v>43635</v>
      </c>
      <c r="B457" s="69">
        <v>13</v>
      </c>
      <c r="C457" s="63">
        <f>68.6/1000</f>
        <v>6.8599999999999994E-2</v>
      </c>
      <c r="D457" s="63">
        <f ca="1">IFERROR(__xludf.DUMMYFUNCTION("C451*IMPORTRANGE(""https://docs.google.com/spreadsheets/d/1xsp01RMmkav9iTy39Zaj_7tE9677EGlOJ14KU9TZn7I"",""H409"")"),0.0607723969999999)</f>
        <v>6.0772396999999902E-2</v>
      </c>
      <c r="E457" s="63">
        <f ca="1">IFERROR(__xludf.DUMMYFUNCTION("C451*IMPORTRANGE(""https://docs.google.com/spreadsheets/d/1xsp01RMmkav9iTy39Zaj_7tE9677EGlOJ14KU9TZn7I"",""T409"")"),0.0540543989999999)</f>
        <v>5.4054398999999899E-2</v>
      </c>
      <c r="F457" s="63">
        <f ca="1">IFERROR(__xludf.DUMMYFUNCTION("C451*IMPORTRANGE(""https://docs.google.com/spreadsheets/d/1xsp01RMmkav9iTy39Zaj_7tE9677EGlOJ14KU9TZn7I"",""AC409"")"),7.42852249999999)</f>
        <v>7.4285224999999899</v>
      </c>
      <c r="G457" s="66" t="s">
        <v>9</v>
      </c>
    </row>
    <row r="458" spans="1:17" ht="12.5" x14ac:dyDescent="0.25">
      <c r="A458" s="78">
        <v>43665</v>
      </c>
      <c r="B458" s="53">
        <v>4</v>
      </c>
      <c r="C458" s="46">
        <f>7.91/1000</f>
        <v>7.9100000000000004E-3</v>
      </c>
      <c r="D458" s="46">
        <f ca="1">IFERROR(__xludf.DUMMYFUNCTION("C452*IMPORTRANGE(""https://docs.google.com/spreadsheets/d/1xsp01RMmkav9iTy39Zaj_7tE9677EGlOJ14KU9TZn7I"",""H433"")"),0.0070452788)</f>
        <v>7.0452787999999997E-3</v>
      </c>
      <c r="E458" s="46">
        <f ca="1">IFERROR(__xludf.DUMMYFUNCTION("C452*IMPORTRANGE(""https://docs.google.com/spreadsheets/d/1xsp01RMmkav9iTy39Zaj_7tE9677EGlOJ14KU9TZn7I"",""T433"")"),0.0063215138)</f>
        <v>6.3215138000000002E-3</v>
      </c>
      <c r="F458" s="46">
        <f ca="1">IFERROR(__xludf.DUMMYFUNCTION("C452*IMPORTRANGE(""https://docs.google.com/spreadsheets/d/1xsp01RMmkav9iTy39Zaj_7tE9677EGlOJ14KU9TZn7I"",""AC433"")"),0.85611512)</f>
        <v>0.85611512000000001</v>
      </c>
      <c r="G458" s="49" t="s">
        <v>9</v>
      </c>
    </row>
    <row r="459" spans="1:17" ht="12.5" x14ac:dyDescent="0.25">
      <c r="A459" s="79">
        <v>43696</v>
      </c>
      <c r="B459" s="69">
        <v>13</v>
      </c>
      <c r="C459" s="63">
        <f>12.9/1000</f>
        <v>1.29E-2</v>
      </c>
      <c r="D459" s="63">
        <f ca="1">IFERROR(__xludf.DUMMYFUNCTION("C453*IMPORTRANGE(""https://docs.google.com/spreadsheets/d/1xsp01RMmkav9iTy39Zaj_7tE9677EGlOJ14KU9TZn7I"",""H456"")"),0.0116154825)</f>
        <v>1.16154825E-2</v>
      </c>
      <c r="E459" s="63">
        <f ca="1">IFERROR(__xludf.DUMMYFUNCTION("C453*IMPORTRANGE(""https://docs.google.com/spreadsheets/d/1xsp01RMmkav9iTy39Zaj_7tE9677EGlOJ14KU9TZn7I"",""T456"")"),0.0106147005)</f>
        <v>1.0614700499999999E-2</v>
      </c>
      <c r="F459" s="63">
        <f ca="1">IFERROR(__xludf.DUMMYFUNCTION("C453*IMPORTRANGE(""https://docs.google.com/spreadsheets/d/1xsp01RMmkav9iTy39Zaj_7tE9677EGlOJ14KU9TZn7I"",""AC456"")"),1.36994775)</f>
        <v>1.3699477499999999</v>
      </c>
      <c r="G459" s="66" t="s">
        <v>9</v>
      </c>
    </row>
    <row r="460" spans="1:17" ht="12.5" x14ac:dyDescent="0.25">
      <c r="A460" s="78">
        <v>43727</v>
      </c>
      <c r="B460" s="53">
        <v>9</v>
      </c>
      <c r="C460" s="46">
        <f>34.5/1000</f>
        <v>3.4500000000000003E-2</v>
      </c>
      <c r="D460" s="46">
        <f ca="1">IFERROR(__xludf.DUMMYFUNCTION("C454*IMPORTRANGE(""https://docs.google.com/spreadsheets/d/1xsp01RMmkav9iTy39Zaj_7tE9677EGlOJ14KU9TZn7I"",""H478"")"),0.03130944)</f>
        <v>3.1309440000000001E-2</v>
      </c>
      <c r="E460" s="46">
        <f ca="1">IFERROR(__xludf.DUMMYFUNCTION("C454*IMPORTRANGE(""https://docs.google.com/spreadsheets/d/1xsp01RMmkav9iTy39Zaj_7tE9677EGlOJ14KU9TZn7I"",""T478"")"),0.02794569)</f>
        <v>2.7945689999999999E-2</v>
      </c>
      <c r="F460" s="46">
        <f ca="1">IFERROR(__xludf.DUMMYFUNCTION("C454*IMPORTRANGE(""https://docs.google.com/spreadsheets/d/1xsp01RMmkav9iTy39Zaj_7tE9677EGlOJ14KU9TZn7I"",""AC478"")"),3.713994)</f>
        <v>3.713994</v>
      </c>
      <c r="G460" s="49" t="s">
        <v>9</v>
      </c>
    </row>
    <row r="461" spans="1:17" ht="12.5" x14ac:dyDescent="0.25">
      <c r="A461" s="79">
        <v>44123</v>
      </c>
      <c r="B461" s="69">
        <v>11</v>
      </c>
      <c r="C461" s="63">
        <f>204.4/1000</f>
        <v>0.2044</v>
      </c>
      <c r="D461" s="63">
        <f ca="1">IFERROR(__xludf.DUMMYFUNCTION("C455*IMPORTRANGE("" https://docs.google.com/spreadsheets/d/1xsp01RMmkav9iTy39Zaj_7tE9677EGlOJ14KU9TZn7I"", ""H502"")"),0.185233412)</f>
        <v>0.18523341199999999</v>
      </c>
      <c r="E461" s="63">
        <f ca="1">IFERROR(__xludf.DUMMYFUNCTION("C455*IMPORTRANGE(""https://docs.google.com/spreadsheets/d/1xsp01RMmkav9iTy39Zaj_7tE9677EGlOJ14KU9TZn7I"",""T502"")"),0.160180104)</f>
        <v>0.16018010399999999</v>
      </c>
      <c r="F461" s="63">
        <f ca="1">IFERROR(__xludf.DUMMYFUNCTION("C455*IMPORTRANGE(""https://docs.google.com/spreadsheets/d/1xsp01RMmkav9iTy39Zaj_7tE9677EGlOJ14KU9TZn7I"",""AC502"")"),22.1690196)</f>
        <v>22.169019599999999</v>
      </c>
      <c r="G461" s="66" t="s">
        <v>9</v>
      </c>
    </row>
    <row r="462" spans="1:17" ht="12.5" x14ac:dyDescent="0.25">
      <c r="A462" s="78">
        <v>43788</v>
      </c>
      <c r="B462" s="53">
        <v>8</v>
      </c>
      <c r="C462" s="46">
        <f>861/1000</f>
        <v>0.86099999999999999</v>
      </c>
      <c r="D462" s="46">
        <f ca="1">IFERROR(__xludf.DUMMYFUNCTION("C456*IMPORTRANGE(""https://docs.google.com/spreadsheets/d/1xsp01RMmkav9iTy39Zaj_7tE9677EGlOJ14KU9TZn7I"",""H524"")"),0.78021237)</f>
        <v>0.78021236999999999</v>
      </c>
      <c r="E462" s="46">
        <f ca="1">IFERROR(__xludf.DUMMYFUNCTION("C456*IMPORTRANGE(""https://docs.google.com/spreadsheets/d/1xsp01RMmkav9iTy39Zaj_7tE9677EGlOJ14KU9TZn7I"",""T524"")"),0.667877699999999)</f>
        <v>0.66787769999999902</v>
      </c>
      <c r="F462" s="46">
        <f ca="1">IFERROR(__xludf.DUMMYFUNCTION("C456*IMPORTRANGE(""https://docs.google.com/spreadsheets/d/1xsp01RMmkav9iTy39Zaj_7tE9677EGlOJ14KU9TZn7I"",""AC524"")"),93.675078)</f>
        <v>93.675077999999999</v>
      </c>
      <c r="G462" s="49" t="s">
        <v>9</v>
      </c>
    </row>
    <row r="463" spans="1:17" ht="12.5" x14ac:dyDescent="0.25">
      <c r="A463" s="79">
        <v>43818</v>
      </c>
      <c r="B463" s="69">
        <v>12</v>
      </c>
      <c r="C463" s="63">
        <f>335.4/1000</f>
        <v>0.33539999999999998</v>
      </c>
      <c r="D463" s="63">
        <f ca="1">IFERROR(__xludf.DUMMYFUNCTION("C457*IMPORTRANGE(""https://docs.google.com/spreadsheets/d/1xsp01RMmkav9iTy39Zaj_7tE9677EGlOJ14KU9TZn7I"",""H547"")"),0.302208815999999)</f>
        <v>0.30220881599999899</v>
      </c>
      <c r="E463" s="63">
        <f ca="1">IFERROR(__xludf.DUMMYFUNCTION("C457*IMPORTRANGE(""https://docs.google.com/spreadsheets/d/1xsp01RMmkav9iTy39Zaj_7tE9677EGlOJ14KU9TZn7I"",""T547"")"),0.255999080999999)</f>
        <v>0.25599908099999902</v>
      </c>
      <c r="F463" s="63">
        <f ca="1">IFERROR(__xludf.DUMMYFUNCTION("C457*IMPORTRANGE(""https://docs.google.com/spreadsheets/d/1xsp01RMmkav9iTy39Zaj_7tE9677EGlOJ14KU9TZn7I"",""AC547"")"),36.6868905)</f>
        <v>36.686890499999997</v>
      </c>
      <c r="G463" s="66" t="s">
        <v>9</v>
      </c>
    </row>
    <row r="464" spans="1:17" ht="12.5" x14ac:dyDescent="0.25">
      <c r="A464" s="76">
        <v>2020</v>
      </c>
      <c r="B464" s="60"/>
      <c r="C464" s="75"/>
      <c r="D464" s="75"/>
      <c r="E464" s="75"/>
      <c r="F464" s="75"/>
      <c r="G464" s="77"/>
    </row>
    <row r="465" spans="1:7" ht="12.5" x14ac:dyDescent="0.25">
      <c r="A465" s="78">
        <v>43850</v>
      </c>
      <c r="B465" s="53">
        <v>12</v>
      </c>
      <c r="C465" s="46">
        <f>236.2/1000</f>
        <v>0.23619999999999999</v>
      </c>
      <c r="D465" s="46">
        <f ca="1">IFERROR(__xludf.DUMMYFUNCTION("C459*IMPORTRANGE(""https://docs.google.com/spreadsheets/d/1xsp01RMmkav9iTy39Zaj_7tE9677EGlOJ14KU9TZn7I"",""H572"")"),0.212539846)</f>
        <v>0.212539846</v>
      </c>
      <c r="E465" s="46">
        <f ca="1">IFERROR(__xludf.DUMMYFUNCTION("C459*IMPORTRANGE(""https://docs.google.com/spreadsheets/d/1xsp01RMmkav9iTy39Zaj_7tE9677EGlOJ14KU9TZn7I"",""T572"")"),0.18071662)</f>
        <v>0.18071661999999999</v>
      </c>
      <c r="F465" s="46">
        <f ca="1">IFERROR(__xludf.DUMMYFUNCTION("C459*IMPORTRANGE(""https://docs.google.com/spreadsheets/d/1xsp01RMmkav9iTy39Zaj_7tE9677EGlOJ14KU9TZn7I"",""AC572"")"),25.7769784)</f>
        <v>25.776978400000001</v>
      </c>
      <c r="G465" s="49" t="s">
        <v>9</v>
      </c>
    </row>
    <row r="466" spans="1:7" ht="12.5" x14ac:dyDescent="0.25">
      <c r="A466" s="79">
        <v>43881</v>
      </c>
      <c r="B466" s="69">
        <v>13</v>
      </c>
      <c r="C466" s="63">
        <f>1264/1000</f>
        <v>1.264</v>
      </c>
      <c r="D466" s="63">
        <f ca="1">IFERROR(__xludf.DUMMYFUNCTION("C460*IMPORTRANGE(""https://docs.google.com/spreadsheets/d/1xsp01RMmkav9iTy39Zaj_7tE9677EGlOJ14KU9TZn7I"",""H593"")"),1.16134424)</f>
        <v>1.16134424</v>
      </c>
      <c r="E466" s="63">
        <f ca="1">IFERROR(__xludf.DUMMYFUNCTION("C460*IMPORTRANGE(""https://docs.google.com/spreadsheets/d/1xsp01RMmkav9iTy39Zaj_7tE9677EGlOJ14KU9TZn7I"",""T593"")"),0.97552992)</f>
        <v>0.97552992000000005</v>
      </c>
      <c r="F466" s="63">
        <f ca="1">IFERROR(__xludf.DUMMYFUNCTION("C460*IMPORTRANGE(""https://docs.google.com/spreadsheets/d/1xsp01RMmkav9iTy39Zaj_7tE9677EGlOJ14KU9TZn7I"",""AC593"")"),138.833336)</f>
        <v>138.833336</v>
      </c>
      <c r="G466" s="66" t="s">
        <v>9</v>
      </c>
    </row>
    <row r="467" spans="1:7" ht="12.5" x14ac:dyDescent="0.25">
      <c r="A467" s="78">
        <v>43910</v>
      </c>
      <c r="B467" s="53">
        <v>6</v>
      </c>
      <c r="C467" s="46">
        <f>164.7/1000</f>
        <v>0.16469999999999999</v>
      </c>
      <c r="D467" s="46">
        <f ca="1">IFERROR(__xludf.DUMMYFUNCTION("C461*IMPORTRANGE(""https://docs.google.com/spreadsheets/d/1xsp01RMmkav9iTy39Zaj_7tE9677EGlOJ14KU9TZn7I"",""H616"")"),0.147857778)</f>
        <v>0.147857778</v>
      </c>
      <c r="E467" s="46">
        <f ca="1">IFERROR(__xludf.DUMMYFUNCTION("C461*IMPORTRANGE(""https://docs.google.com/spreadsheets/d/1xsp01RMmkav9iTy39Zaj_7tE9677EGlOJ14KU9TZn7I"",""T616"")"),0.132539689799999)</f>
        <v>0.132539689799999</v>
      </c>
      <c r="F467" s="46">
        <f ca="1">IFERROR(__xludf.DUMMYFUNCTION("C461*IMPORTRANGE(""https://docs.google.com/spreadsheets/d/1xsp01RMmkav9iTy39Zaj_7tE9677EGlOJ14KU9TZn7I"",""AC616"")"),17.7126615)</f>
        <v>17.712661499999999</v>
      </c>
      <c r="G467" s="49" t="s">
        <v>9</v>
      </c>
    </row>
    <row r="468" spans="1:7" ht="12.5" x14ac:dyDescent="0.25">
      <c r="A468" s="79">
        <v>43941</v>
      </c>
      <c r="B468" s="69">
        <v>6</v>
      </c>
      <c r="C468" s="63">
        <f>93.8/1000</f>
        <v>9.3799999999999994E-2</v>
      </c>
      <c r="D468" s="63">
        <f ca="1">IFERROR(__xludf.DUMMYFUNCTION("C462*IMPORTRANGE(""https://docs.google.com/spreadsheets/d/1xsp01RMmkav9iTy39Zaj_7tE9677EGlOJ14KU9TZn7I"",""H639"")"),0.08633821)</f>
        <v>8.6338209999999999E-2</v>
      </c>
      <c r="E468" s="63">
        <f ca="1">IFERROR(__xludf.DUMMYFUNCTION("C462*IMPORTRANGE(""https://docs.google.com/spreadsheets/d/1xsp01RMmkav9iTy39Zaj_7tE9677EGlOJ14KU9TZn7I"",""T639"")"),0.075550272)</f>
        <v>7.5550272000000002E-2</v>
      </c>
      <c r="F468" s="63">
        <f ca="1">IFERROR(__xludf.DUMMYFUNCTION("C462*IMPORTRANGE(""https://docs.google.com/spreadsheets/d/1xsp01RMmkav9iTy39Zaj_7tE9677EGlOJ14KU9TZn7I"",""AC639"")"),10.0993991)</f>
        <v>10.099399099999999</v>
      </c>
      <c r="G468" s="66" t="s">
        <v>9</v>
      </c>
    </row>
    <row r="469" spans="1:7" ht="12.5" x14ac:dyDescent="0.25">
      <c r="A469" s="89">
        <v>43971</v>
      </c>
      <c r="B469" s="53">
        <v>6</v>
      </c>
      <c r="C469" s="46">
        <v>0</v>
      </c>
      <c r="D469" s="46">
        <f ca="1">IFERROR(__xludf.DUMMYFUNCTION("C463*IMPORTRANGE(""https://docs.google.com/spreadsheets/d/1xsp01RMmkav9iTy39Zaj_7tE9677EGlOJ14KU9TZn7I"",""H661"")"),0)</f>
        <v>0</v>
      </c>
      <c r="E469" s="46">
        <f ca="1">IFERROR(__xludf.DUMMYFUNCTION("C463*IMPORTRANGE(""https://docs.google.com/spreadsheets/d/1xsp01RMmkav9iTy39Zaj_7tE9677EGlOJ14KU9TZn7I"",""T661"")"),0)</f>
        <v>0</v>
      </c>
      <c r="F469" s="46">
        <f ca="1">IFERROR(__xludf.DUMMYFUNCTION("C463*IMPORTRANGE(""https://docs.google.com/spreadsheets/d/1xsp01RMmkav9iTy39Zaj_7tE9677EGlOJ14KU9TZn7I"",""AC661"")"),0)</f>
        <v>0</v>
      </c>
      <c r="G469" s="49" t="s">
        <v>9</v>
      </c>
    </row>
    <row r="470" spans="1:7" ht="12.5" x14ac:dyDescent="0.25">
      <c r="A470" s="79">
        <v>44002</v>
      </c>
      <c r="B470" s="69">
        <v>4</v>
      </c>
      <c r="C470" s="63">
        <f>36.6/1000</f>
        <v>3.6600000000000001E-2</v>
      </c>
      <c r="D470" s="63">
        <f ca="1">IFERROR(__xludf.DUMMYFUNCTION("C464*IMPORTRANGE(""https://docs.google.com/spreadsheets/d/1xsp01RMmkav9iTy39Zaj_7tE9677EGlOJ14KU9TZn7I"",""H684"")"),0.032529165)</f>
        <v>3.2529164999999999E-2</v>
      </c>
      <c r="E470" s="63">
        <f ca="1">IFERROR(__xludf.DUMMYFUNCTION("C464*IMPORTRANGE(""https://docs.google.com/spreadsheets/d/1xsp01RMmkav9iTy39Zaj_7tE9677EGlOJ14KU9TZn7I"",""T684"")"),0.029189415)</f>
        <v>2.9189415E-2</v>
      </c>
      <c r="F470" s="63">
        <f ca="1">IFERROR(__xludf.DUMMYFUNCTION("C464*IMPORTRANGE(""https://docs.google.com/spreadsheets/d/1xsp01RMmkav9iTy39Zaj_7tE9677EGlOJ14KU9TZn7I"",""AC684"")"),3.9293943)</f>
        <v>3.9293942999999998</v>
      </c>
      <c r="G470" s="66" t="s">
        <v>9</v>
      </c>
    </row>
    <row r="471" spans="1:7" ht="12.5" x14ac:dyDescent="0.25">
      <c r="A471" s="78">
        <v>44397</v>
      </c>
      <c r="B471" s="53">
        <v>9</v>
      </c>
      <c r="C471" s="46">
        <f>357.8/1000</f>
        <v>0.35780000000000001</v>
      </c>
      <c r="D471" s="46">
        <f ca="1">IFERROR(__xludf.DUMMYFUNCTION("C465*IMPORTRANGE(""https://docs.google.com/spreadsheets/d/1xsp01RMmkav9iTy39Zaj_7tE9677EGlOJ14KU9TZn7I"",""H708"")"),0.313565186)</f>
        <v>0.313565186</v>
      </c>
      <c r="E471" s="46">
        <f ca="1">IFERROR(__xludf.DUMMYFUNCTION("C465*IMPORTRANGE(""https://docs.google.com/spreadsheets/d/1xsp01RMmkav9iTy39Zaj_7tE9677EGlOJ14KU9TZn7I"",""T708"")"),0.283853474)</f>
        <v>0.28385347399999999</v>
      </c>
      <c r="F471" s="46">
        <f ca="1">IFERROR(__xludf.DUMMYFUNCTION("C465*IMPORTRANGE(""https://docs.google.com/spreadsheets/d/1xsp01RMmkav9iTy39Zaj_7tE9677EGlOJ14KU9TZn7I"",""AC708"")"),38.3547288)</f>
        <v>38.354728799999997</v>
      </c>
      <c r="G471" s="49" t="s">
        <v>9</v>
      </c>
    </row>
    <row r="472" spans="1:7" ht="12.5" x14ac:dyDescent="0.25">
      <c r="A472" s="79">
        <v>44428</v>
      </c>
      <c r="B472" s="69">
        <v>8</v>
      </c>
      <c r="C472" s="63">
        <f>3.71/1000</f>
        <v>3.7099999999999998E-3</v>
      </c>
      <c r="D472" s="63">
        <f ca="1">IFERROR(__xludf.DUMMYFUNCTION("C466*IMPORTRANGE(""https://docs.google.com/spreadsheets/d/1xsp01RMmkav9iTy39Zaj_7tE9677EGlOJ14KU9TZn7I"",""H730"")"),0.00313884549999999)</f>
        <v>3.1388454999999901E-3</v>
      </c>
      <c r="E472" s="63">
        <f ca="1">IFERROR(__xludf.DUMMYFUNCTION("C466*IMPORTRANGE(""https://docs.google.com/spreadsheets/d/1xsp01RMmkav9iTy39Zaj_7tE9677EGlOJ14KU9TZn7I"",""T730"")"),0.00283054821)</f>
        <v>2.83054821E-3</v>
      </c>
      <c r="F472" s="63">
        <f ca="1">IFERROR(__xludf.DUMMYFUNCTION("C466*IMPORTRANGE(""https://docs.google.com/spreadsheets/d/1xsp01RMmkav9iTy39Zaj_7tE9677EGlOJ14KU9TZn7I"",""AC730"")"),0.393230319999999)</f>
        <v>0.39323031999999902</v>
      </c>
      <c r="G472" s="66" t="s">
        <v>9</v>
      </c>
    </row>
    <row r="473" spans="1:7" ht="12.5" x14ac:dyDescent="0.25">
      <c r="A473" s="52" t="s">
        <v>407</v>
      </c>
      <c r="B473" s="53">
        <v>10</v>
      </c>
      <c r="C473" s="46">
        <f>38599.1/1000</f>
        <v>38.5991</v>
      </c>
      <c r="D473" s="46">
        <f ca="1">IFERROR(__xludf.DUMMYFUNCTION("C467*IMPORTRANGE(""https://docs.google.com/spreadsheets/d/1xsp01RMmkav9iTy39Zaj_7tE9677EGlOJ14KU9TZn7I"",""H753"")"),32.6473117755)</f>
        <v>32.6473117755</v>
      </c>
      <c r="E473" s="46">
        <f ca="1">IFERROR(__xludf.DUMMYFUNCTION("C467*IMPORTRANGE(""https://docs.google.com/spreadsheets/d/1xsp01RMmkav9iTy39Zaj_7tE9677EGlOJ14KU9TZn7I"",""T753"")"),29.901564797)</f>
        <v>29.901564796999999</v>
      </c>
      <c r="F473" s="46">
        <f ca="1">IFERROR(__xludf.DUMMYFUNCTION("C467*IMPORTRANGE(""https://docs.google.com/spreadsheets/d/1xsp01RMmkav9iTy39Zaj_7tE9677EGlOJ14KU9TZn7I"",""AC753"")"),4079.51957945)</f>
        <v>4079.51957945</v>
      </c>
      <c r="G473" s="49" t="s">
        <v>9</v>
      </c>
    </row>
    <row r="474" spans="1:7" ht="12.5" x14ac:dyDescent="0.25">
      <c r="A474" s="79">
        <v>44489</v>
      </c>
      <c r="B474" s="69">
        <v>11</v>
      </c>
      <c r="C474" s="63">
        <f>13.6/1000</f>
        <v>1.3599999999999999E-2</v>
      </c>
      <c r="D474" s="63">
        <f ca="1">IFERROR(__xludf.DUMMYFUNCTION("C468*IMPORTRANGE(""https://docs.google.com/spreadsheets/d/1xsp01RMmkav9iTy39Zaj_7tE9677EGlOJ14KU9TZn7I"",""H776"")"),0.0115575112)</f>
        <v>1.15575112E-2</v>
      </c>
      <c r="E474" s="63">
        <f ca="1">IFERROR(__xludf.DUMMYFUNCTION("C468*IMPORTRANGE(""https://docs.google.com/spreadsheets/d/1xsp01RMmkav9iTy39Zaj_7tE9677EGlOJ14KU9TZn7I"",""T776"")"),0.010500832)</f>
        <v>1.0500832E-2</v>
      </c>
      <c r="F474" s="63">
        <f ca="1">IFERROR(__xludf.DUMMYFUNCTION("C468*IMPORTRANGE(""https://docs.google.com/spreadsheets/d/1xsp01RMmkav9iTy39Zaj_7tE9677EGlOJ14KU9TZn7I"",""AC776"")"),1.43397039999999)</f>
        <v>1.43397039999999</v>
      </c>
      <c r="G474" s="66" t="s">
        <v>9</v>
      </c>
    </row>
    <row r="475" spans="1:7" ht="12.5" x14ac:dyDescent="0.25">
      <c r="A475" s="78">
        <v>44520</v>
      </c>
      <c r="B475" s="53">
        <v>19</v>
      </c>
      <c r="C475" s="46">
        <f>45698.6/1000</f>
        <v>45.698599999999999</v>
      </c>
      <c r="D475" s="46">
        <f ca="1">IFERROR(__xludf.DUMMYFUNCTION("C469*IMPORTRANGE(""https://docs.google.com/spreadsheets/d/1xsp01RMmkav9iTy39Zaj_7tE9677EGlOJ14KU9TZn7I"",""H798"")"),38.5796720919999)</f>
        <v>38.579672091999903</v>
      </c>
      <c r="E475" s="46">
        <f ca="1">IFERROR(__xludf.DUMMYFUNCTION("C469*IMPORTRANGE(""https://docs.google.com/spreadsheets/d/1xsp01RMmkav9iTy39Zaj_7tE9677EGlOJ14KU9TZn7I"",""T798"")"),34.556824334)</f>
        <v>34.556824333999998</v>
      </c>
      <c r="F475" s="46">
        <f ca="1">IFERROR(__xludf.DUMMYFUNCTION("C469*IMPORTRANGE(""https://docs.google.com/spreadsheets/d/1xsp01RMmkav9iTy39Zaj_7tE9677EGlOJ14KU9TZn7I"",""AC798"")"),4776.0977818)</f>
        <v>4776.0977818000001</v>
      </c>
      <c r="G475" s="49" t="s">
        <v>9</v>
      </c>
    </row>
    <row r="476" spans="1:7" ht="12.5" x14ac:dyDescent="0.25">
      <c r="A476" s="79">
        <v>44550</v>
      </c>
      <c r="B476" s="69">
        <v>9</v>
      </c>
      <c r="C476" s="63">
        <f>71.9/1000</f>
        <v>7.1900000000000006E-2</v>
      </c>
      <c r="D476" s="63">
        <f ca="1">IFERROR(__xludf.DUMMYFUNCTION("C470*IMPORTRANGE(""https://docs.google.com/spreadsheets/d/1xsp01RMmkav9iTy39Zaj_7tE9677EGlOJ14KU9TZn7I"",""H822"")"),0.0591560126)</f>
        <v>5.9156012600000002E-2</v>
      </c>
      <c r="E476" s="63">
        <f ca="1">IFERROR(__xludf.DUMMYFUNCTION("C470*IMPORTRANGE(""https://docs.google.com/spreadsheets/d/1xsp01RMmkav9iTy39Zaj_7tE9677EGlOJ14KU9TZn7I"",""T822"")"),0.053566219)</f>
        <v>5.3566218999999998E-2</v>
      </c>
      <c r="F476" s="63">
        <f ca="1">IFERROR(__xludf.DUMMYFUNCTION("C470*IMPORTRANGE(""https://docs.google.com/spreadsheets/d/1xsp01RMmkav9iTy39Zaj_7tE9677EGlOJ14KU9TZn7I"",""AC822"")"),7.4552391)</f>
        <v>7.4552391</v>
      </c>
      <c r="G476" s="66" t="s">
        <v>9</v>
      </c>
    </row>
    <row r="477" spans="1:7" ht="12.5" x14ac:dyDescent="0.25">
      <c r="A477" s="76">
        <v>2021</v>
      </c>
      <c r="B477" s="60"/>
      <c r="C477" s="75"/>
      <c r="D477" s="75"/>
      <c r="E477" s="75"/>
      <c r="F477" s="75"/>
      <c r="G477" s="77"/>
    </row>
    <row r="478" spans="1:7" ht="12.5" x14ac:dyDescent="0.25">
      <c r="A478" s="78">
        <v>44947</v>
      </c>
      <c r="B478" s="53">
        <v>8</v>
      </c>
      <c r="C478" s="46">
        <v>0</v>
      </c>
      <c r="D478" s="46">
        <f ca="1">IFERROR(__xludf.DUMMYFUNCTION("C472*IMPORTRANGE(""https://docs.google.com/spreadsheets/d/1xsp01RMmkav9iTy39Zaj_7tE9677EGlOJ14KU9TZn7I"",""H845"")"),0)</f>
        <v>0</v>
      </c>
      <c r="E478" s="46">
        <f ca="1">IFERROR(__xludf.DUMMYFUNCTION("C472*IMPORTRANGE(""https://docs.google.com/spreadsheets/d/1xsp01RMmkav9iTy39Zaj_7tE9677EGlOJ14KU9TZn7I"",""T845"")"),0)</f>
        <v>0</v>
      </c>
      <c r="F478" s="46">
        <f ca="1">IFERROR(__xludf.DUMMYFUNCTION("C472*IMPORTRANGE(""https://docs.google.com/spreadsheets/d/1xsp01RMmkav9iTy39Zaj_7tE9677EGlOJ14KU9TZn7I"",""AC845"")"),0)</f>
        <v>0</v>
      </c>
      <c r="G478" s="49" t="s">
        <v>9</v>
      </c>
    </row>
    <row r="479" spans="1:7" ht="12.5" x14ac:dyDescent="0.25">
      <c r="A479" s="79">
        <v>44978</v>
      </c>
      <c r="B479" s="69">
        <v>7</v>
      </c>
      <c r="C479" s="63">
        <v>0</v>
      </c>
      <c r="D479" s="63">
        <f ca="1">IFERROR(__xludf.DUMMYFUNCTION("C473*IMPORTRANGE(""https://docs.google.com/spreadsheets/d/1xsp01RMmkav9iTy39Zaj_7tE9677EGlOJ14KU9TZn7I"",""H866"")"),0)</f>
        <v>0</v>
      </c>
      <c r="E479" s="63">
        <f ca="1">IFERROR(__xludf.DUMMYFUNCTION("C473*IMPORTRANGE(""https://docs.google.com/spreadsheets/d/1xsp01RMmkav9iTy39Zaj_7tE9677EGlOJ14KU9TZn7I"",""T866"")"),0)</f>
        <v>0</v>
      </c>
      <c r="F479" s="63">
        <f ca="1">IFERROR(__xludf.DUMMYFUNCTION("C473*IMPORTRANGE(""https://docs.google.com/spreadsheets/d/1xsp01RMmkav9iTy39Zaj_7tE9677EGlOJ14KU9TZn7I"",""AC866"")"),0)</f>
        <v>0</v>
      </c>
      <c r="G479" s="66" t="s">
        <v>9</v>
      </c>
    </row>
    <row r="480" spans="1:7" ht="12.5" x14ac:dyDescent="0.25">
      <c r="A480" s="78">
        <v>45006</v>
      </c>
      <c r="B480" s="53">
        <v>9</v>
      </c>
      <c r="C480" s="46">
        <f>75.4/1000</f>
        <v>7.5400000000000009E-2</v>
      </c>
      <c r="D480" s="46">
        <f ca="1">IFERROR(__xludf.DUMMYFUNCTION("C474*IMPORTRANGE(""https://docs.google.com/spreadsheets/d/1xsp01RMmkav9iTy39Zaj_7tE9677EGlOJ14KU9TZn7I"",""H890"")"),0.063225162)</f>
        <v>6.3225162000000001E-2</v>
      </c>
      <c r="E480" s="46">
        <f ca="1">IFERROR(__xludf.DUMMYFUNCTION("C474*IMPORTRANGE(""https://docs.google.com/spreadsheets/d/1xsp01RMmkav9iTy39Zaj_7tE9677EGlOJ14KU9TZn7I"",""T890"")"),0.054267642)</f>
        <v>5.4267641999999998E-2</v>
      </c>
      <c r="F480" s="46">
        <f ca="1">IFERROR(__xludf.DUMMYFUNCTION("C474*IMPORTRANGE(""https://docs.google.com/spreadsheets/d/1xsp01RMmkav9iTy39Zaj_7tE9677EGlOJ14KU9TZn7I"",""AC890"")"),8.202766)</f>
        <v>8.2027660000000004</v>
      </c>
      <c r="G480" s="49" t="s">
        <v>9</v>
      </c>
    </row>
    <row r="481" spans="1:11" ht="12.5" x14ac:dyDescent="0.25">
      <c r="A481" s="79">
        <v>45037</v>
      </c>
      <c r="B481" s="69">
        <v>7</v>
      </c>
      <c r="C481" s="63">
        <f>20010/1000</f>
        <v>20.010000000000002</v>
      </c>
      <c r="D481" s="63">
        <f ca="1">IFERROR(__xludf.DUMMYFUNCTION("C475*IMPORTRANGE(""https://docs.google.com/spreadsheets/d/1xsp01RMmkav9iTy39Zaj_7tE9677EGlOJ14KU9TZn7I"",""H913"")"),16.7159538)</f>
        <v>16.715953800000001</v>
      </c>
      <c r="E481" s="63">
        <f ca="1">IFERROR(__xludf.DUMMYFUNCTION("C475*IMPORTRANGE(""https://docs.google.com/spreadsheets/d/1xsp01RMmkav9iTy39Zaj_7tE9677EGlOJ14KU9TZn7I"",""T913"")"),14.465229)</f>
        <v>14.465229000000001</v>
      </c>
      <c r="F481" s="63">
        <f ca="1">IFERROR(__xludf.DUMMYFUNCTION("C475*IMPORTRANGE(""https://docs.google.com/spreadsheets/d/1xsp01RMmkav9iTy39Zaj_7tE9677EGlOJ14KU9TZn7I"",""AC913"")"),2179.06899)</f>
        <v>2179.0689900000002</v>
      </c>
      <c r="G481" s="66" t="s">
        <v>9</v>
      </c>
    </row>
    <row r="482" spans="1:11" ht="12.5" x14ac:dyDescent="0.25">
      <c r="A482" s="78">
        <v>45067</v>
      </c>
      <c r="B482" s="53">
        <v>13</v>
      </c>
      <c r="C482" s="46">
        <f>23.1/1000</f>
        <v>2.3100000000000002E-2</v>
      </c>
      <c r="D482" s="46">
        <f ca="1">IFERROR(__xludf.DUMMYFUNCTION("C476*IMPORTRANGE(""https://docs.google.com/spreadsheets/d/1xsp01RMmkav9iTy39Zaj_7tE9677EGlOJ14KU9TZn7I"",""H935"")"),0.019001598)</f>
        <v>1.9001598000000001E-2</v>
      </c>
      <c r="E482" s="46">
        <f ca="1">IFERROR(__xludf.DUMMYFUNCTION("C476*IMPORTRANGE(""https://docs.google.com/spreadsheets/d/1xsp01RMmkav9iTy39Zaj_7tE9677EGlOJ14KU9TZn7I"",""t935"")"),0.016364271)</f>
        <v>1.6364271E-2</v>
      </c>
      <c r="F482" s="46">
        <f ca="1">IFERROR(__xludf.DUMMYFUNCTION("C476*IMPORTRANGE(""https://docs.google.com/spreadsheets/d/1xsp01RMmkav9iTy39Zaj_7tE9677EGlOJ14KU9TZn7I"",""AC935"")"),2.521827)</f>
        <v>2.521827</v>
      </c>
      <c r="G482" s="49" t="s">
        <v>9</v>
      </c>
    </row>
    <row r="483" spans="1:11" ht="12.5" x14ac:dyDescent="0.25">
      <c r="A483" s="79">
        <v>45098</v>
      </c>
      <c r="B483" s="69">
        <v>16</v>
      </c>
      <c r="C483" s="63">
        <f>1000.7/1000</f>
        <v>1.0007000000000001</v>
      </c>
      <c r="D483" s="63">
        <f ca="1">IFERROR(__xludf.DUMMYFUNCTION("C477*IMPORTRANGE(""https://docs.google.com/spreadsheets/d/1xsp01RMmkav9iTy39Zaj_7tE9677EGlOJ14KU9TZn7I"",""H958"")"),0.825917738)</f>
        <v>0.82591773800000001</v>
      </c>
      <c r="E483" s="63">
        <f ca="1">IFERROR(__xludf.DUMMYFUNCTION("C477*IMPORTRANGE(""https://docs.google.com/spreadsheets/d/1xsp01RMmkav9iTy39Zaj_7tE9677EGlOJ14KU9TZn7I"",""t958"")"),0.7099316045)</f>
        <v>0.70993160450000004</v>
      </c>
      <c r="F483" s="63">
        <f ca="1">IFERROR(__xludf.DUMMYFUNCTION("C477*IMPORTRANGE(""https://docs.google.com/spreadsheets/d/1xsp01RMmkav9iTy39Zaj_7tE9677EGlOJ14KU9TZn7I"",""AC958"")"),110.21959975)</f>
        <v>110.21959975</v>
      </c>
      <c r="G483" s="66" t="s">
        <v>9</v>
      </c>
    </row>
    <row r="484" spans="1:11" ht="12.5" x14ac:dyDescent="0.25">
      <c r="A484" s="78">
        <v>45128</v>
      </c>
      <c r="B484" s="53">
        <v>17</v>
      </c>
      <c r="C484" s="46">
        <f>242.9/1000</f>
        <v>0.2429</v>
      </c>
      <c r="D484" s="46">
        <f ca="1">IFERROR(__xludf.DUMMYFUNCTION("C478*IMPORTRANGE(""https://docs.google.com/spreadsheets/d/1xsp01RMmkav9iTy39Zaj_7tE9677EGlOJ14KU9TZn7I"",""H981"")"),0.205432675)</f>
        <v>0.20543267500000001</v>
      </c>
      <c r="E484" s="46">
        <f ca="1">IFERROR(__xludf.DUMMYFUNCTION("C478*IMPORTRANGE(""https://docs.google.com/spreadsheets/d/1xsp01RMmkav9iTy39Zaj_7tE9677EGlOJ14KU9TZn7I"",""t981"")"),0.1757903735)</f>
        <v>0.17579037350000001</v>
      </c>
      <c r="F484" s="46">
        <f ca="1">IFERROR(__xludf.DUMMYFUNCTION("C478*IMPORTRANGE(""https://docs.google.com/spreadsheets/d/1xsp01RMmkav9iTy39Zaj_7tE9677EGlOJ14KU9TZn7I"",""AC981"")"),26.7760815)</f>
        <v>26.7760815</v>
      </c>
      <c r="G484" s="49" t="s">
        <v>9</v>
      </c>
    </row>
    <row r="485" spans="1:11" ht="12.5" x14ac:dyDescent="0.25">
      <c r="A485" s="79">
        <v>45159</v>
      </c>
      <c r="B485" s="69">
        <v>15</v>
      </c>
      <c r="C485" s="63">
        <f>436.9/1000</f>
        <v>0.43689999999999996</v>
      </c>
      <c r="D485" s="63">
        <f ca="1">IFERROR(__xludf.DUMMYFUNCTION("C479*IMPORTRANGE(""https://docs.google.com/spreadsheets/d/1xsp01RMmkav9iTy39Zaj_7tE9677EGlOJ14KU9TZn7I"",""H1004"")"),0.371679567999999)</f>
        <v>0.37167956799999902</v>
      </c>
      <c r="E485" s="63">
        <f ca="1">IFERROR(__xludf.DUMMYFUNCTION("C479*IMPORTRANGE(""https://docs.google.com/spreadsheets/d/1xsp01RMmkav9iTy39Zaj_7tE9677EGlOJ14KU9TZn7I"",""t1004"")"),0.316049090999999)</f>
        <v>0.31604909099999901</v>
      </c>
      <c r="F485" s="63">
        <f ca="1">IFERROR(__xludf.DUMMYFUNCTION("C479*IMPORTRANGE(""https://docs.google.com/spreadsheets/d/1xsp01RMmkav9iTy39Zaj_7tE9677EGlOJ14KU9TZn7I"",""AC1004"")"),47.9733675999999)</f>
        <v>47.973367599999897</v>
      </c>
      <c r="G485" s="66" t="s">
        <v>9</v>
      </c>
    </row>
    <row r="486" spans="1:11" ht="12.5" x14ac:dyDescent="0.25">
      <c r="A486" s="78">
        <v>45190</v>
      </c>
      <c r="B486" s="53">
        <v>10</v>
      </c>
      <c r="C486" s="46">
        <f>25/1000</f>
        <v>2.5000000000000001E-2</v>
      </c>
      <c r="D486" s="46">
        <f ca="1">IFERROR(__xludf.DUMMYFUNCTION("C480*IMPORTRANGE(""https://docs.google.com/spreadsheets/d/1xsp01RMmkav9iTy39Zaj_7tE9677EGlOJ14KU9TZn7I"",""H1027"")"),0.02117275)</f>
        <v>2.1172750000000001E-2</v>
      </c>
      <c r="E486" s="46">
        <f ca="1">IFERROR(__xludf.DUMMYFUNCTION("C480*IMPORTRANGE(""https://docs.google.com/spreadsheets/d/1xsp01RMmkav9iTy39Zaj_7tE9677EGlOJ14KU9TZn7I"",""t1027"")"),0.018155875)</f>
        <v>1.8155874999999998E-2</v>
      </c>
      <c r="F486" s="46">
        <f ca="1">IFERROR(__xludf.DUMMYFUNCTION("C480*IMPORTRANGE(""https://docs.google.com/spreadsheets/d/1xsp01RMmkav9iTy39Zaj_7tE9677EGlOJ14KU9TZn7I"",""AC1027"")"),2.74895)</f>
        <v>2.7489499999999998</v>
      </c>
      <c r="G486" s="49" t="s">
        <v>9</v>
      </c>
    </row>
    <row r="487" spans="1:11" ht="12.5" x14ac:dyDescent="0.25">
      <c r="A487" s="79">
        <v>45220</v>
      </c>
      <c r="B487" s="69">
        <v>13</v>
      </c>
      <c r="C487" s="63">
        <f>74.6/1000</f>
        <v>7.46E-2</v>
      </c>
      <c r="D487" s="63">
        <f ca="1">IFERROR(__xludf.DUMMYFUNCTION("C481*IMPORTRANGE(""https://docs.google.com/spreadsheets/d/1xsp01RMmkav9iTy39Zaj_7tE9677EGlOJ14KU9TZn7I"",""H1049"")"),0.06431266)</f>
        <v>6.4312659999999994E-2</v>
      </c>
      <c r="E487" s="63">
        <f ca="1">IFERROR(__xludf.DUMMYFUNCTION("C481*IMPORTRANGE(""https://docs.google.com/spreadsheets/d/1xsp01RMmkav9iTy39Zaj_7tE9677EGlOJ14KU9TZn7I"",""t1049"")"),0.054575122)</f>
        <v>5.4575121999999997E-2</v>
      </c>
      <c r="F487" s="63">
        <f ca="1">IFERROR(__xludf.DUMMYFUNCTION("C481*IMPORTRANGE(""https://docs.google.com/spreadsheets/d/1xsp01RMmkav9iTy39Zaj_7tE9677EGlOJ14KU9TZn7I"",""AC1049"")"),8.47575359999999)</f>
        <v>8.4757535999999902</v>
      </c>
      <c r="G487" s="66" t="s">
        <v>9</v>
      </c>
    </row>
    <row r="488" spans="1:11" ht="12.5" x14ac:dyDescent="0.25">
      <c r="A488" s="78">
        <v>45251</v>
      </c>
      <c r="B488" s="53">
        <v>13</v>
      </c>
      <c r="C488" s="46">
        <f>135.6/1000</f>
        <v>0.1356</v>
      </c>
      <c r="D488" s="46">
        <f ca="1">IFERROR(__xludf.DUMMYFUNCTION("C482*IMPORTRANGE(""https://docs.google.com/spreadsheets/d/1xsp01RMmkav9iTy39Zaj_7tE9677EGlOJ14KU9TZn7I"",""H1072"")"),0.118896114)</f>
        <v>0.118896114</v>
      </c>
      <c r="E488" s="46">
        <f ca="1">IFERROR(__xludf.DUMMYFUNCTION("C482*IMPORTRANGE(""https://docs.google.com/spreadsheets/d/1xsp01RMmkav9iTy39Zaj_7tE9677EGlOJ14KU9TZn7I"",""t1072"")"),0.10097115)</f>
        <v>0.10097115</v>
      </c>
      <c r="F488" s="46">
        <f ca="1">IFERROR(__xludf.DUMMYFUNCTION("C482*IMPORTRANGE(""https://docs.google.com/spreadsheets/d/1xsp01RMmkav9iTy39Zaj_7tE9677EGlOJ14KU9TZn7I"",""AC1072"")"),15.4695191999999)</f>
        <v>15.469519199999899</v>
      </c>
      <c r="G488" s="49" t="s">
        <v>9</v>
      </c>
    </row>
    <row r="489" spans="1:11" ht="12.5" x14ac:dyDescent="0.25">
      <c r="A489" s="79">
        <v>45281</v>
      </c>
      <c r="B489" s="69">
        <v>9</v>
      </c>
      <c r="C489" s="63">
        <f>1941.4/1000</f>
        <v>1.9414</v>
      </c>
      <c r="D489" s="63">
        <f ca="1">IFERROR(__xludf.DUMMYFUNCTION("C483*IMPORTRANGE(""https://docs.google.com/spreadsheets/d/1xsp01RMmkav9iTy39Zaj_7tE9677EGlOJ14KU9TZn7I"",""H1096"")"),1.716255842)</f>
        <v>1.716255842</v>
      </c>
      <c r="E489" s="63">
        <f ca="1">IFERROR(__xludf.DUMMYFUNCTION("C483*IMPORTRANGE(""https://docs.google.com/spreadsheets/d/1xsp01RMmkav9iTy39Zaj_7tE9677EGlOJ14KU9TZn7I"",""t1096"")"),1.46303904)</f>
        <v>1.46303904</v>
      </c>
      <c r="F489" s="63">
        <f ca="1">IFERROR(__xludf.DUMMYFUNCTION("C483*IMPORTRANGE(""https://docs.google.com/spreadsheets/d/1xsp01RMmkav9iTy39Zaj_7tE9677EGlOJ14KU9TZn7I"",""AC1096"")"),220.665348199999)</f>
        <v>220.66534819999899</v>
      </c>
      <c r="G489" s="66" t="s">
        <v>9</v>
      </c>
    </row>
    <row r="490" spans="1:11" ht="12.5" x14ac:dyDescent="0.25">
      <c r="A490" s="76">
        <v>2022</v>
      </c>
      <c r="B490" s="60"/>
      <c r="C490" s="75"/>
      <c r="D490" s="75"/>
      <c r="E490" s="75"/>
      <c r="F490" s="75"/>
      <c r="G490" s="77"/>
      <c r="I490" s="99" t="s">
        <v>408</v>
      </c>
      <c r="J490" s="100" t="s">
        <v>1</v>
      </c>
      <c r="K490" s="101" t="s">
        <v>409</v>
      </c>
    </row>
    <row r="491" spans="1:11" ht="12.5" x14ac:dyDescent="0.25">
      <c r="A491" s="78">
        <v>44948</v>
      </c>
      <c r="B491" s="53">
        <v>12</v>
      </c>
      <c r="C491" s="46">
        <f>427.8/1000</f>
        <v>0.42780000000000001</v>
      </c>
      <c r="D491" s="46">
        <f ca="1">IFERROR(__xludf.DUMMYFUNCTION("C485*IMPORTRANGE(""https://docs.google.com/spreadsheets/d/1xsp01RMmkav9iTy39Zaj_7tE9677EGlOJ14KU9TZn7I"",""H1119"")"),0.377593392)</f>
        <v>0.37759339200000003</v>
      </c>
      <c r="E491" s="46">
        <f ca="1">IFERROR(__xludf.DUMMYFUNCTION("C485*IMPORTRANGE(""https://docs.google.com/spreadsheets/d/1xsp01RMmkav9iTy39Zaj_7tE9677EGlOJ14KU9TZn7I"",""T1119"")"),0.315583782)</f>
        <v>0.31558378199999998</v>
      </c>
      <c r="F491" s="46">
        <f ca="1">IFERROR(__xludf.DUMMYFUNCTION("C485*IMPORTRANGE(""https://docs.google.com/spreadsheets/d/1xsp01RMmkav9iTy39Zaj_7tE9677EGlOJ14KU9TZn7I"",""AC1119"")"),49.0776438)</f>
        <v>49.077643799999997</v>
      </c>
      <c r="G491" s="49" t="s">
        <v>9</v>
      </c>
      <c r="I491" s="102"/>
      <c r="J491" s="103">
        <f>SUM(B491:B501)</f>
        <v>108</v>
      </c>
      <c r="K491" s="104">
        <f>SUM(C491:C501)</f>
        <v>1.9894000000000003</v>
      </c>
    </row>
    <row r="492" spans="1:11" ht="12.5" x14ac:dyDescent="0.25">
      <c r="A492" s="79">
        <v>44979</v>
      </c>
      <c r="B492" s="69">
        <v>5</v>
      </c>
      <c r="C492" s="63">
        <f>78.9/1000</f>
        <v>7.8900000000000012E-2</v>
      </c>
      <c r="D492" s="63">
        <f ca="1">IFERROR(__xludf.DUMMYFUNCTION("C486*IMPORTRANGE(""https://docs.google.com/spreadsheets/d/1xsp01RMmkav9iTy39Zaj_7tE9677EGlOJ14KU9TZn7I"",""H1140"")"),0.0695586345)</f>
        <v>6.9558634499999994E-2</v>
      </c>
      <c r="E492" s="63">
        <f ca="1">IFERROR(__xludf.DUMMYFUNCTION("C486*IMPORTRANGE(""https://docs.google.com/spreadsheets/d/1xsp01RMmkav9iTy39Zaj_7tE9677EGlOJ14KU9TZn7I"",""T1140"")"),0.058243191)</f>
        <v>5.8243191E-2</v>
      </c>
      <c r="F492" s="63">
        <f ca="1">IFERROR(__xludf.DUMMYFUNCTION("C486*IMPORTRANGE(""https://docs.google.com/spreadsheets/d/1xsp01RMmkav9iTy39Zaj_7tE9677EGlOJ14KU9TZn7I"",""AC1140"")"),9.08711025)</f>
        <v>9.0871102500000003</v>
      </c>
      <c r="G492" s="66" t="s">
        <v>9</v>
      </c>
      <c r="I492" s="1"/>
      <c r="J492" s="2"/>
      <c r="K492" s="7"/>
    </row>
    <row r="493" spans="1:11" ht="12.5" x14ac:dyDescent="0.25">
      <c r="A493" s="78">
        <v>45007</v>
      </c>
      <c r="B493" s="53">
        <v>12</v>
      </c>
      <c r="C493" s="46">
        <f>34.4/1000</f>
        <v>3.44E-2</v>
      </c>
      <c r="D493" s="46">
        <f ca="1">IFERROR(__xludf.DUMMYFUNCTION("C487*IMPORTRANGE(""https://docs.google.com/spreadsheets/d/1xsp01RMmkav9iTy39Zaj_7tE9677EGlOJ14KU9TZn7I"",""H1164"")"),0.031223848)</f>
        <v>3.1223847999999998E-2</v>
      </c>
      <c r="E493" s="46">
        <f ca="1">IFERROR(__xludf.DUMMYFUNCTION("C487*IMPORTRANGE(""https://docs.google.com/spreadsheets/d/1xsp01RMmkav9iTy39Zaj_7tE9677EGlOJ14KU9TZn7I"",""T1164"")"),0.026138152)</f>
        <v>2.6138152000000001E-2</v>
      </c>
      <c r="F493" s="46">
        <f ca="1">IFERROR(__xludf.DUMMYFUNCTION("C487*IMPORTRANGE(""https://docs.google.com/spreadsheets/d/1xsp01RMmkav9iTy39Zaj_7tE9677EGlOJ14KU9TZn7I"",""AC1164"")"),4.0692448)</f>
        <v>4.0692447999999999</v>
      </c>
      <c r="G493" s="49" t="s">
        <v>9</v>
      </c>
      <c r="I493" s="1"/>
      <c r="J493" s="1"/>
      <c r="K493" s="7"/>
    </row>
    <row r="494" spans="1:11" ht="12.5" x14ac:dyDescent="0.25">
      <c r="A494" s="79">
        <v>45038</v>
      </c>
      <c r="B494" s="69">
        <v>11</v>
      </c>
      <c r="C494" s="63">
        <f>734.8/1000</f>
        <v>0.73480000000000001</v>
      </c>
      <c r="D494" s="63">
        <f ca="1">IFERROR(__xludf.DUMMYFUNCTION("C488*IMPORTRANGE(""https://docs.google.com/spreadsheets/d/1xsp01RMmkav9iTy39Zaj_7tE9677EGlOJ14KU9TZn7I"",""H1186"")"),0.678161616)</f>
        <v>0.67816161600000002</v>
      </c>
      <c r="E494" s="63">
        <f ca="1">IFERROR(__xludf.DUMMYFUNCTION("C488*IMPORTRANGE(""https://docs.google.com/spreadsheets/d/1xsp01RMmkav9iTy39Zaj_7tE9677EGlOJ14KU9TZn7I"",""T1186"")"),0.563834084)</f>
        <v>0.56383408400000001</v>
      </c>
      <c r="F494" s="63">
        <f ca="1">IFERROR(__xludf.DUMMYFUNCTION("C488*IMPORTRANGE(""https://docs.google.com/spreadsheets/d/1xsp01RMmkav9iTy39Zaj_7tE9677EGlOJ14KU9TZn7I"",""AC1186"")"),92.7163292)</f>
        <v>92.716329200000004</v>
      </c>
      <c r="G494" s="66" t="s">
        <v>9</v>
      </c>
      <c r="I494" s="1"/>
      <c r="J494" s="1"/>
      <c r="K494" s="7"/>
    </row>
    <row r="495" spans="1:11" ht="12.5" x14ac:dyDescent="0.25">
      <c r="A495" s="78">
        <v>45068</v>
      </c>
      <c r="B495" s="53">
        <v>8</v>
      </c>
      <c r="C495" s="46">
        <f>27.7/1000</f>
        <v>2.7699999999999999E-2</v>
      </c>
      <c r="D495" s="46">
        <f ca="1">IFERROR(__xludf.DUMMYFUNCTION("C489*IMPORTRANGE(""https://docs.google.com/spreadsheets/d/1xsp01RMmkav9iTy39Zaj_7tE9677EGlOJ14KU9TZn7I"",""H1209"")"),0.0262713724999999)</f>
        <v>2.62713724999999E-2</v>
      </c>
      <c r="E495" s="46">
        <f ca="1">IFERROR(__xludf.DUMMYFUNCTION("C489*IMPORTRANGE(""https://docs.google.com/spreadsheets/d/1xsp01RMmkav9iTy39Zaj_7tE9677EGlOJ14KU9TZn7I"",""T1209"")"),0.0221753734999999)</f>
        <v>2.2175373499999901E-2</v>
      </c>
      <c r="F495" s="46">
        <f ca="1">IFERROR(__xludf.DUMMYFUNCTION("C489*IMPORTRANGE(""https://docs.google.com/spreadsheets/d/1xsp01RMmkav9iTy39Zaj_7tE9677EGlOJ14KU9TZn7I"",""AC1209"")"),3.5753221)</f>
        <v>3.5753221000000002</v>
      </c>
      <c r="G495" s="49" t="s">
        <v>9</v>
      </c>
      <c r="I495" s="1"/>
      <c r="J495" s="1"/>
      <c r="K495" s="7"/>
    </row>
    <row r="496" spans="1:11" ht="12.5" x14ac:dyDescent="0.25">
      <c r="A496" s="79">
        <v>45099</v>
      </c>
      <c r="B496" s="69">
        <v>17</v>
      </c>
      <c r="C496" s="63">
        <f>409.5/1000</f>
        <v>0.40949999999999998</v>
      </c>
      <c r="D496" s="63">
        <f ca="1">IFERROR(__xludf.DUMMYFUNCTION("C490*IMPORTRANGE(""https://docs.google.com/spreadsheets/d/1xsp01RMmkav9iTy39Zaj_7tE9677EGlOJ14KU9TZn7I"",""H1232"")"),0.387950062499999)</f>
        <v>0.38795006249999903</v>
      </c>
      <c r="E496" s="63">
        <f ca="1">IFERROR(__xludf.DUMMYFUNCTION("C490*IMPORTRANGE(""https://docs.google.com/spreadsheets/d/1xsp01RMmkav9iTy39Zaj_7tE9677EGlOJ14KU9TZn7I"",""T1232"")"),0.33370974)</f>
        <v>0.33370973999999998</v>
      </c>
      <c r="F496" s="63">
        <f ca="1">IFERROR(__xludf.DUMMYFUNCTION("C490*IMPORTRANGE(""https://docs.google.com/spreadsheets/d/1xsp01RMmkav9iTy39Zaj_7tE9677EGlOJ14KU9TZn7I"",""AC1232"")"),55.127709)</f>
        <v>55.127709000000003</v>
      </c>
      <c r="G496" s="66" t="s">
        <v>9</v>
      </c>
      <c r="I496" s="1"/>
      <c r="J496" s="1"/>
      <c r="K496" s="7"/>
    </row>
    <row r="497" spans="1:11" ht="12.5" x14ac:dyDescent="0.25">
      <c r="A497" s="78">
        <v>45129</v>
      </c>
      <c r="B497" s="53">
        <v>7</v>
      </c>
      <c r="C497" s="46">
        <f>11.5/1000</f>
        <v>1.15E-2</v>
      </c>
      <c r="D497" s="46">
        <f ca="1">IFERROR(__xludf.DUMMYFUNCTION("C491*IMPORTRANGE(""https://docs.google.com/spreadsheets/d/1xsp01RMmkav9iTy39Zaj_7tE9677EGlOJ14KU9TZn7I"",""H1254"")"),0.01128955)</f>
        <v>1.1289550000000001E-2</v>
      </c>
      <c r="E497" s="46">
        <f ca="1">IFERROR(__xludf.DUMMYFUNCTION("C491*IMPORTRANGE(""https://docs.google.com/spreadsheets/d/1xsp01RMmkav9iTy39Zaj_7tE9677EGlOJ14KU9TZn7I"",""T1254"")"),0.0095864)</f>
        <v>9.5864000000000001E-3</v>
      </c>
      <c r="F497" s="46">
        <f ca="1">IFERROR(__xludf.DUMMYFUNCTION("C491*IMPORTRANGE(""https://docs.google.com/spreadsheets/d/1xsp01RMmkav9iTy39Zaj_7tE9677EGlOJ14KU9TZn7I"",""AC1254"")"),1.5689565)</f>
        <v>1.5689565000000001</v>
      </c>
      <c r="G497" s="49" t="s">
        <v>9</v>
      </c>
      <c r="I497" s="1"/>
      <c r="J497" s="1"/>
      <c r="K497" s="7"/>
    </row>
    <row r="498" spans="1:11" ht="12.5" x14ac:dyDescent="0.25">
      <c r="A498" s="79">
        <v>45160</v>
      </c>
      <c r="B498" s="69">
        <v>13</v>
      </c>
      <c r="C498" s="63">
        <f>17.2/1000</f>
        <v>1.72E-2</v>
      </c>
      <c r="D498" s="63">
        <f ca="1">IFERROR(__xludf.DUMMYFUNCTION("C492*IMPORTRANGE(""https://docs.google.com/spreadsheets/d/1xsp01RMmkav9iTy39Zaj_7tE9677EGlOJ14KU9TZn7I"",""H1278"")"),0.016925832)</f>
        <v>1.6925831999999998E-2</v>
      </c>
      <c r="E498" s="63">
        <f ca="1">IFERROR(__xludf.DUMMYFUNCTION("C492*IMPORTRANGE(""https://docs.google.com/spreadsheets/d/1xsp01RMmkav9iTy39Zaj_7tE9677EGlOJ14KU9TZn7I"",""T1278"")"),0.014262584)</f>
        <v>1.4262584E-2</v>
      </c>
      <c r="F498" s="63">
        <f ca="1">IFERROR(__xludf.DUMMYFUNCTION("C492*IMPORTRANGE(""https://docs.google.com/spreadsheets/d/1xsp01RMmkav9iTy39Zaj_7tE9677EGlOJ14KU9TZn7I"",""AC1278"")"),2.3210368)</f>
        <v>2.3210367999999999</v>
      </c>
      <c r="G498" s="66" t="s">
        <v>9</v>
      </c>
      <c r="I498" s="1"/>
      <c r="J498" s="1"/>
      <c r="K498" s="7"/>
    </row>
    <row r="499" spans="1:11" ht="12.5" x14ac:dyDescent="0.25">
      <c r="A499" s="78">
        <v>45191</v>
      </c>
      <c r="B499" s="53">
        <v>8</v>
      </c>
      <c r="C499" s="46">
        <f>32.8/1000</f>
        <v>3.2799999999999996E-2</v>
      </c>
      <c r="D499" s="46">
        <f ca="1">IFERROR(__xludf.DUMMYFUNCTION("C493*IMPORTRANGE(""https://docs.google.com/spreadsheets/d/1xsp01RMmkav9iTy39Zaj_7tE9677EGlOJ14KU9TZn7I"",""H1301"")"),0.0329266079999999)</f>
        <v>3.2926607999999899E-2</v>
      </c>
      <c r="E499" s="46">
        <f ca="1">IFERROR(__xludf.DUMMYFUNCTION("C493*IMPORTRANGE(""https://docs.google.com/spreadsheets/d/1xsp01RMmkav9iTy39Zaj_7tE9677EGlOJ14KU9TZn7I"",""T1301"")"),0.0286122599999999)</f>
        <v>2.86122599999999E-2</v>
      </c>
      <c r="F499" s="46">
        <f ca="1">IFERROR(__xludf.DUMMYFUNCTION("C493*IMPORTRANGE(""https://docs.google.com/spreadsheets/d/1xsp01RMmkav9iTy39Zaj_7tE9677EGlOJ14KU9TZn7I"",""AC1301"")"),4.7000432)</f>
        <v>4.7000431999999996</v>
      </c>
      <c r="G499" s="49" t="s">
        <v>9</v>
      </c>
      <c r="I499" s="1"/>
      <c r="J499" s="1"/>
      <c r="K499" s="7"/>
    </row>
    <row r="500" spans="1:11" ht="12.5" x14ac:dyDescent="0.25">
      <c r="A500" s="79">
        <v>45221</v>
      </c>
      <c r="B500" s="69">
        <v>8</v>
      </c>
      <c r="C500" s="63">
        <f>214.8/1000</f>
        <v>0.21480000000000002</v>
      </c>
      <c r="D500" s="63">
        <f ca="1">IFERROR(__xludf.DUMMYFUNCTION("C494*IMPORTRANGE(""https://docs.google.com/spreadsheets/d/1xsp01RMmkav9iTy39Zaj_7tE9677EGlOJ14KU9TZn7I"",""H1323"")"),0.218468784)</f>
        <v>0.218468784</v>
      </c>
      <c r="E500" s="63">
        <f ca="1">IFERROR(__xludf.DUMMYFUNCTION("C494*IMPORTRANGE(""https://docs.google.com/spreadsheets/d/1xsp01RMmkav9iTy39Zaj_7tE9677EGlOJ14KU9TZn7I"",""T1323"")"),0.18995838)</f>
        <v>0.18995838000000001</v>
      </c>
      <c r="F500" s="63">
        <f ca="1">IFERROR(__xludf.DUMMYFUNCTION("C494*IMPORTRANGE(""https://docs.google.com/spreadsheets/d/1xsp01RMmkav9iTy39Zaj_7tE9677EGlOJ14KU9TZn7I"",""AC1323"")"),31.5191076)</f>
        <v>31.519107600000002</v>
      </c>
      <c r="G500" s="66" t="s">
        <v>9</v>
      </c>
      <c r="I500" s="1"/>
      <c r="J500" s="1"/>
      <c r="K500" s="7"/>
    </row>
    <row r="501" spans="1:11" ht="12.5" x14ac:dyDescent="0.25">
      <c r="A501" s="78">
        <v>45252</v>
      </c>
      <c r="B501" s="53">
        <v>7</v>
      </c>
      <c r="C501" s="46">
        <v>0</v>
      </c>
      <c r="D501" s="46">
        <f ca="1">IFERROR(__xludf.DUMMYFUNCTION("C495*IMPORTRANGE(""https://docs.google.com/spreadsheets/d/1xsp01RMmkav9iTy39Zaj_7tE9677EGlOJ14KU9TZn7I"",""H1346"")"),0)</f>
        <v>0</v>
      </c>
      <c r="E501" s="46">
        <f ca="1">IFERROR(__xludf.DUMMYFUNCTION("C495*IMPORTRANGE(""https://docs.google.com/spreadsheets/d/1xsp01RMmkav9iTy39Zaj_7tE9677EGlOJ14KU9TZn7I"",""T1346"")"),0)</f>
        <v>0</v>
      </c>
      <c r="F501" s="46">
        <f ca="1">IFERROR(__xludf.DUMMYFUNCTION("C495*IMPORTRANGE(""https://docs.google.com/spreadsheets/d/1xsp01RMmkav9iTy39Zaj_7tE9677EGlOJ14KU9TZn7I"",""AC1346"")"),0)</f>
        <v>0</v>
      </c>
      <c r="G501" s="49" t="s">
        <v>9</v>
      </c>
      <c r="I501" s="1"/>
      <c r="J501" s="1"/>
      <c r="K501" s="7"/>
    </row>
    <row r="502" spans="1:11" ht="12.5" x14ac:dyDescent="0.25">
      <c r="A502" s="79">
        <v>45282</v>
      </c>
      <c r="B502" s="69">
        <v>13</v>
      </c>
      <c r="C502" s="63">
        <f>364/1000</f>
        <v>0.36399999999999999</v>
      </c>
      <c r="D502" s="63">
        <f ca="1">IFERROR(__xludf.DUMMYFUNCTION("C496*IMPORTRANGE(""https://docs.google.com/spreadsheets/d/1xsp01RMmkav9iTy39Zaj_7tE9677EGlOJ14KU9TZn7I"",""H1369"")"),0.343179199999999)</f>
        <v>0.34317919999999902</v>
      </c>
      <c r="E502" s="63">
        <f ca="1">IFERROR(__xludf.DUMMYFUNCTION("C496*IMPORTRANGE(""https://docs.google.com/spreadsheets/d/1xsp01RMmkav9iTy39Zaj_7tE9677EGlOJ14KU9TZn7I"",""T1369"")"),0.2989805)</f>
        <v>0.29898049999999998</v>
      </c>
      <c r="F502" s="63">
        <f ca="1">IFERROR(__xludf.DUMMYFUNCTION("C496*IMPORTRANGE(""https://docs.google.com/spreadsheets/d/1xsp01RMmkav9iTy39Zaj_7tE9677EGlOJ14KU9TZn7I"",""AC1369"")"),49.309624)</f>
        <v>49.309623999999999</v>
      </c>
      <c r="G502" s="66" t="s">
        <v>9</v>
      </c>
      <c r="I502" s="1"/>
      <c r="J502" s="1"/>
      <c r="K502" s="7"/>
    </row>
    <row r="503" spans="1:11" ht="12.5" x14ac:dyDescent="0.25">
      <c r="A503" s="77"/>
      <c r="B503" s="60"/>
      <c r="C503" s="75"/>
      <c r="D503" s="75"/>
      <c r="E503" s="75"/>
      <c r="F503" s="75"/>
      <c r="G503" s="77"/>
      <c r="I503" s="99" t="s">
        <v>410</v>
      </c>
      <c r="J503" s="100" t="s">
        <v>1</v>
      </c>
      <c r="K503" s="105" t="s">
        <v>409</v>
      </c>
    </row>
    <row r="504" spans="1:11" ht="12.5" x14ac:dyDescent="0.25">
      <c r="A504" s="80">
        <v>44949</v>
      </c>
      <c r="B504" s="54">
        <v>9</v>
      </c>
      <c r="C504" s="46">
        <f>3243.4/1000</f>
        <v>3.2434000000000003</v>
      </c>
      <c r="D504" s="46">
        <f ca="1">IFERROR(__xludf.DUMMYFUNCTION("C498*IMPORTRANGE(""https://docs.google.com/spreadsheets/d/1xsp01RMmkav9iTy39Zaj_7tE9677EGlOJ14KU9TZn7I"",""H1393"")"),3.000031481)</f>
        <v>3.0000314810000002</v>
      </c>
      <c r="E504" s="46">
        <f ca="1">IFERROR(__xludf.DUMMYFUNCTION("C498*IMPORTRANGE(""https://docs.google.com/spreadsheets/d/1xsp01RMmkav9iTy39Zaj_7tE9677EGlOJ14KU9TZn7I"",""T1393"")"),2.653685012)</f>
        <v>2.653685012</v>
      </c>
      <c r="F504" s="46">
        <f ca="1">IFERROR(__xludf.DUMMYFUNCTION("C498*IMPORTRANGE(""https://docs.google.com/spreadsheets/d/1xsp01RMmkav9iTy39Zaj_7tE9677EGlOJ14KU9TZn7I"",""AC1393"")"),422.8063838434)</f>
        <v>422.8063838434</v>
      </c>
      <c r="G504" s="49" t="s">
        <v>9</v>
      </c>
      <c r="I504" s="102"/>
      <c r="J504" s="103">
        <f>SUM(B504:B514)</f>
        <v>80</v>
      </c>
      <c r="K504" s="104">
        <f>SUM(C504:C514)</f>
        <v>3.8983600000000003</v>
      </c>
    </row>
    <row r="505" spans="1:11" ht="12.5" x14ac:dyDescent="0.25">
      <c r="A505" s="81">
        <v>44980</v>
      </c>
      <c r="B505" s="71">
        <v>6</v>
      </c>
      <c r="C505" s="63">
        <f>3.61/1000</f>
        <v>3.6099999999999999E-3</v>
      </c>
      <c r="D505" s="63">
        <f ca="1">IFERROR(__xludf.DUMMYFUNCTION("C499*IMPORTRANGE(""https://docs.google.com/spreadsheets/d/1xsp01RMmkav9iTy39Zaj_7tE9677EGlOJ14KU9TZn7I"",""H1414"")"),0.003368852)</f>
        <v>3.3688519999999999E-3</v>
      </c>
      <c r="E505" s="63">
        <f ca="1">IFERROR(__xludf.DUMMYFUNCTION("C499*IMPORTRANGE(""https://docs.google.com/spreadsheets/d/1xsp01RMmkav9iTy39Zaj_7tE9677EGlOJ14KU9TZn7I"",""T1414"")"),0.00299500039999999)</f>
        <v>2.99500039999999E-3</v>
      </c>
      <c r="F505" s="63">
        <f ca="1">IFERROR(__xludf.DUMMYFUNCTION("C499*IMPORTRANGE(""https://docs.google.com/spreadsheets/d/1xsp01RMmkav9iTy39Zaj_7tE9677EGlOJ14KU9TZn7I"",""AC1414"")"),0.47943327)</f>
        <v>0.47943327000000002</v>
      </c>
      <c r="G505" s="66" t="s">
        <v>9</v>
      </c>
    </row>
    <row r="506" spans="1:11" ht="12.5" x14ac:dyDescent="0.25">
      <c r="A506" s="80">
        <v>45008</v>
      </c>
      <c r="B506" s="54">
        <v>12</v>
      </c>
      <c r="C506" s="46">
        <f>101/1000</f>
        <v>0.10100000000000001</v>
      </c>
      <c r="D506" s="46">
        <f ca="1">IFERROR(__xludf.DUMMYFUNCTION("C500*IMPORTRANGE(""https://docs.google.com/spreadsheets/d/1xsp01RMmkav9iTy39Zaj_7tE9677EGlOJ14KU9TZn7I"",""H1438"")"),0.0944956)</f>
        <v>9.4495599999999999E-2</v>
      </c>
      <c r="E506" s="46">
        <f ca="1">IFERROR(__xludf.DUMMYFUNCTION("C500*IMPORTRANGE(""https://docs.google.com/spreadsheets/d/1xsp01RMmkav9iTy39Zaj_7tE9677EGlOJ14KU9TZn7I"",""T1438"")"),0.0831129)</f>
        <v>8.3112900000000003E-2</v>
      </c>
      <c r="F506" s="46">
        <f ca="1">IFERROR(__xludf.DUMMYFUNCTION("C500*IMPORTRANGE(""https://docs.google.com/spreadsheets/d/1xsp01RMmkav9iTy39Zaj_7tE9677EGlOJ14KU9TZn7I"",""AC1438"")"),13.453301404)</f>
        <v>13.453301403999999</v>
      </c>
      <c r="G506" s="49" t="s">
        <v>9</v>
      </c>
    </row>
    <row r="507" spans="1:11" ht="12.5" x14ac:dyDescent="0.25">
      <c r="A507" s="81">
        <v>45039</v>
      </c>
      <c r="B507" s="71">
        <v>3</v>
      </c>
      <c r="C507" s="63">
        <v>0</v>
      </c>
      <c r="D507" s="63">
        <f ca="1">IFERROR(__xludf.DUMMYFUNCTION("C501*IMPORTRANGE(""https://docs.google.com/spreadsheets/d/1xsp01RMmkav9iTy39Zaj_7tE9677EGlOJ14KU9TZn7I"",""H1459"")"),0)</f>
        <v>0</v>
      </c>
      <c r="E507" s="63">
        <f ca="1">IFERROR(__xludf.DUMMYFUNCTION("C501*IMPORTRANGE(""https://docs.google.com/spreadsheets/d/1xsp01RMmkav9iTy39Zaj_7tE9677EGlOJ14KU9TZn7I"",""T1459"")"),0)</f>
        <v>0</v>
      </c>
      <c r="F507" s="63">
        <f ca="1">IFERROR(__xludf.DUMMYFUNCTION("C501*IMPORTRANGE(""https://docs.google.com/spreadsheets/d/1xsp01RMmkav9iTy39Zaj_7tE9677EGlOJ14KU9TZn7I"",""AC1459"")"),0)</f>
        <v>0</v>
      </c>
      <c r="G507" s="66" t="s">
        <v>9</v>
      </c>
    </row>
    <row r="508" spans="1:11" ht="12.5" x14ac:dyDescent="0.25">
      <c r="A508" s="82">
        <v>45069</v>
      </c>
      <c r="B508" s="54">
        <v>7</v>
      </c>
      <c r="C508" s="46">
        <v>0</v>
      </c>
      <c r="D508" s="46">
        <f ca="1">IFERROR(__xludf.DUMMYFUNCTION("C502*IMPORTRANGE(""https://docs.google.com/spreadsheets/d/1xsp01RMmkav9iTy39Zaj_7tE9677EGlOJ14KU9TZn7I"",""H1483"")"),0)</f>
        <v>0</v>
      </c>
      <c r="E508" s="46">
        <f ca="1">IFERROR(__xludf.DUMMYFUNCTION("C502*IMPORTRANGE(""https://docs.google.com/spreadsheets/d/1xsp01RMmkav9iTy39Zaj_7tE9677EGlOJ14KU9TZn7I"",""T1483"")"),0)</f>
        <v>0</v>
      </c>
      <c r="F508" s="46">
        <f ca="1">IFERROR(__xludf.DUMMYFUNCTION("C502*IMPORTRANGE(""https://docs.google.com/spreadsheets/d/1xsp01RMmkav9iTy39Zaj_7tE9677EGlOJ14KU9TZn7I"",""AC1483"")"),0)</f>
        <v>0</v>
      </c>
      <c r="G508" s="49" t="s">
        <v>9</v>
      </c>
    </row>
    <row r="509" spans="1:11" ht="12.5" x14ac:dyDescent="0.25">
      <c r="A509" s="83">
        <v>45100</v>
      </c>
      <c r="B509" s="71">
        <v>9</v>
      </c>
      <c r="C509" s="63">
        <f>8.45/1000</f>
        <v>8.4499999999999992E-3</v>
      </c>
      <c r="D509" s="72">
        <f ca="1">IFERROR(__xludf.DUMMYFUNCTION("C503*IMPORTRANGE(""https://docs.google.com/spreadsheets/d/1xsp01RMmkav9iTy39Zaj_7tE9677EGlOJ14KU9TZn7I"",""H1506"")"),0.00779280125)</f>
        <v>7.7928012500000001E-3</v>
      </c>
      <c r="E509" s="72">
        <f ca="1">IFERROR(__xludf.DUMMYFUNCTION("C503*IMPORTRANGE(""https://docs.google.com/spreadsheets/d/1xsp01RMmkav9iTy39Zaj_7tE9677EGlOJ14KU9TZn7I"",""T1506"")"),0.00668973824999999)</f>
        <v>6.6897382499999901E-3</v>
      </c>
      <c r="F509" s="72">
        <f ca="1">IFERROR(__xludf.DUMMYFUNCTION("C503*IMPORTRANGE(""https://docs.google.com/spreadsheets/d/1xsp01RMmkav9iTy39Zaj_7tE9677EGlOJ14KU9TZn7I"",""AC1506"")"),1.18500690035)</f>
        <v>1.1850069003499999</v>
      </c>
      <c r="G509" s="66" t="s">
        <v>9</v>
      </c>
    </row>
    <row r="510" spans="1:11" ht="12.5" x14ac:dyDescent="0.25">
      <c r="A510" s="78">
        <v>45130</v>
      </c>
      <c r="B510" s="54">
        <v>10</v>
      </c>
      <c r="C510" s="46">
        <f>10.5/1000</f>
        <v>1.0500000000000001E-2</v>
      </c>
      <c r="D510" s="55">
        <f ca="1">IFERROR(__xludf.DUMMYFUNCTION("C504*IMPORTRANGE(""https://docs.google.com/spreadsheets/d/1xsp01RMmkav9iTy39Zaj_7tE9677EGlOJ14KU9TZn7I"",""H1528"")"),0.00950187)</f>
        <v>9.5018700000000008E-3</v>
      </c>
      <c r="E510" s="55">
        <f ca="1">IFERROR(__xludf.DUMMYFUNCTION("C504*IMPORTRANGE(""https://docs.google.com/spreadsheets/d/1xsp01RMmkav9iTy39Zaj_7tE9677EGlOJ14KU9TZn7I"",""T1528"")"),0.00816186)</f>
        <v>8.1618599999999999E-3</v>
      </c>
      <c r="F510" s="55">
        <f ca="1">IFERROR(__xludf.DUMMYFUNCTION("C504*IMPORTRANGE(""https://docs.google.com/spreadsheets/d/1xsp01RMmkav9iTy39Zaj_7tE9677EGlOJ14KU9TZn7I"",""AC1528"")"),1.479586437)</f>
        <v>1.479586437</v>
      </c>
      <c r="G510" s="84" t="s">
        <v>9</v>
      </c>
    </row>
    <row r="511" spans="1:11" ht="12.5" x14ac:dyDescent="0.25">
      <c r="A511" s="85">
        <v>45161</v>
      </c>
      <c r="B511" s="71">
        <v>4</v>
      </c>
      <c r="C511" s="63">
        <v>0</v>
      </c>
      <c r="D511" s="72">
        <f ca="1">IFERROR(__xludf.DUMMYFUNCTION("C505*IMPORTRANGE(""https://docs.google.com/spreadsheets/d/1xsp01RMmkav9iTy39Zaj_7tE9677EGlOJ14KU9TZn7I"",""H1552"")"),0)</f>
        <v>0</v>
      </c>
      <c r="E511" s="72">
        <f ca="1">IFERROR(__xludf.DUMMYFUNCTION("C505*IMPORTRANGE(""https://docs.google.com/spreadsheets/d/1xsp01RMmkav9iTy39Zaj_7tE9677EGlOJ14KU9TZn7I"",""T1552"")"),0)</f>
        <v>0</v>
      </c>
      <c r="F511" s="72">
        <f ca="1">IFERROR(__xludf.DUMMYFUNCTION("C505*IMPORTRANGE(""https://docs.google.com/spreadsheets/d/1xsp01RMmkav9iTy39Zaj_7tE9677EGlOJ14KU9TZn7I"",""AC1552"")"),0)</f>
        <v>0</v>
      </c>
      <c r="G511" s="86" t="s">
        <v>9</v>
      </c>
    </row>
    <row r="512" spans="1:11" ht="12.5" x14ac:dyDescent="0.25">
      <c r="A512" s="78">
        <v>45192</v>
      </c>
      <c r="B512" s="56">
        <v>10</v>
      </c>
      <c r="C512" s="46">
        <f>291.4/1000</f>
        <v>0.29139999999999999</v>
      </c>
      <c r="D512" s="57">
        <f ca="1">IFERROR(__xludf.DUMMYFUNCTION("C506*IMPORTRANGE(""https://docs.google.com/spreadsheets/d/1xsp01RMmkav9iTy39Zaj_7tE9677EGlOJ14KU9TZn7I"",""H1574"")"),0.272523108)</f>
        <v>0.27252310800000001</v>
      </c>
      <c r="E512" s="57">
        <f ca="1">IFERROR(__xludf.DUMMYFUNCTION("C506*IMPORTRANGE(""https://docs.google.com/spreadsheets/d/1xsp01RMmkav9iTy39Zaj_7tE9677EGlOJ14KU9TZn7I"",""T1574"")"),0.234964562)</f>
        <v>0.23496456199999999</v>
      </c>
      <c r="F512" s="57">
        <f ca="1">IFERROR(__xludf.DUMMYFUNCTION("C506*IMPORTRANGE(""https://docs.google.com/spreadsheets/d/1xsp01RMmkav9iTy39Zaj_7tE9677EGlOJ14KU9TZn7I"",""AC1574"")"),43.0120958344)</f>
        <v>43.0120958344</v>
      </c>
      <c r="G512" s="49" t="s">
        <v>9</v>
      </c>
    </row>
    <row r="513" spans="1:7" ht="12.5" x14ac:dyDescent="0.25">
      <c r="A513" s="79">
        <v>45222</v>
      </c>
      <c r="B513" s="73">
        <v>10</v>
      </c>
      <c r="C513" s="63">
        <f>240/1000</f>
        <v>0.24</v>
      </c>
      <c r="D513" s="74">
        <f ca="1">IFERROR(__xludf.DUMMYFUNCTION("C507*IMPORTRANGE(""https://docs.google.com/spreadsheets/d/1xsp01RMmkav9iTy39Zaj_7tE9677EGlOJ14KU9TZn7I"",""H1597"")"),0.2271384)</f>
        <v>0.22713839999999999</v>
      </c>
      <c r="E513" s="74">
        <f ca="1">IFERROR(__xludf.DUMMYFUNCTION("C507*IMPORTRANGE(""https://docs.google.com/spreadsheets/d/1xsp01RMmkav9iTy39Zaj_7tE9677EGlOJ14KU9TZn7I"",""T1597"")"),0.1973208)</f>
        <v>0.19732079999999999</v>
      </c>
      <c r="F513" s="74">
        <f ca="1">IFERROR(__xludf.DUMMYFUNCTION("C507*IMPORTRANGE(""https://docs.google.com/spreadsheets/d/1xsp01RMmkav9iTy39Zaj_7tE9677EGlOJ14KU9TZn7I"",""AC1597"")"),35.93700072)</f>
        <v>35.93700072</v>
      </c>
      <c r="G513" s="66" t="s">
        <v>9</v>
      </c>
    </row>
    <row r="514" spans="1:7" ht="12.5" x14ac:dyDescent="0.25">
      <c r="A514" s="9"/>
      <c r="B514" s="2"/>
      <c r="C514" s="11"/>
      <c r="D514" s="11"/>
      <c r="E514" s="11"/>
      <c r="F514" s="11"/>
      <c r="G514" s="1"/>
    </row>
    <row r="515" spans="1:7" ht="12.5" x14ac:dyDescent="0.25">
      <c r="A515" s="9"/>
      <c r="B515" s="2"/>
      <c r="C515" s="10"/>
      <c r="D515" s="11"/>
      <c r="E515" s="11"/>
      <c r="F515" s="11"/>
      <c r="G515" s="1"/>
    </row>
    <row r="516" spans="1:7" ht="12.5" x14ac:dyDescent="0.25">
      <c r="A516" s="9"/>
      <c r="B516" s="2"/>
      <c r="C516" s="10"/>
      <c r="D516" s="11"/>
      <c r="E516" s="11"/>
      <c r="F516" s="11"/>
    </row>
    <row r="517" spans="1:7" ht="12.5" x14ac:dyDescent="0.25">
      <c r="C517" s="10"/>
    </row>
    <row r="518" spans="1:7" ht="12.5" x14ac:dyDescent="0.25">
      <c r="C518" s="10"/>
    </row>
    <row r="519" spans="1:7" ht="12.5" x14ac:dyDescent="0.25">
      <c r="C519" s="10"/>
    </row>
    <row r="520" spans="1:7" ht="12.5" x14ac:dyDescent="0.25">
      <c r="C520" s="14"/>
    </row>
    <row r="521" spans="1:7" ht="12.5" x14ac:dyDescent="0.25">
      <c r="C521" s="14"/>
    </row>
    <row r="522" spans="1:7" ht="12.5" x14ac:dyDescent="0.25">
      <c r="C522" s="14"/>
    </row>
    <row r="523" spans="1:7" ht="12.5" x14ac:dyDescent="0.25">
      <c r="C523" s="6"/>
    </row>
    <row r="524" spans="1:7" ht="12.5" x14ac:dyDescent="0.25">
      <c r="C524" s="13"/>
    </row>
    <row r="525" spans="1:7" ht="12.5" x14ac:dyDescent="0.25">
      <c r="C525" s="13"/>
    </row>
  </sheetData>
  <mergeCells count="5">
    <mergeCell ref="A1:S3"/>
    <mergeCell ref="A4:S4"/>
    <mergeCell ref="A7:A8"/>
    <mergeCell ref="B7:B8"/>
    <mergeCell ref="C7:G7"/>
  </mergeCells>
  <phoneticPr fontId="1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Annually</vt:lpstr>
      <vt:lpstr>Monthly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Pia Jarantilla</cp:lastModifiedBy>
  <dcterms:modified xsi:type="dcterms:W3CDTF">2024-02-26T09:15:54Z</dcterms:modified>
</cp:coreProperties>
</file>