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Agricultural Products &amp; Services\"/>
    </mc:Choice>
  </mc:AlternateContent>
  <xr:revisionPtr revIDLastSave="0" documentId="13_ncr:1_{A60B8A9B-A56D-4AE0-A638-A26A5F933A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9" i="2" l="1"/>
  <c r="E519" i="2"/>
  <c r="D519" i="2"/>
  <c r="C519" i="2"/>
  <c r="F518" i="2"/>
  <c r="E518" i="2"/>
  <c r="D518" i="2"/>
  <c r="C518" i="2"/>
  <c r="J517" i="2"/>
  <c r="F517" i="2"/>
  <c r="E517" i="2"/>
  <c r="D517" i="2"/>
  <c r="C517" i="2"/>
  <c r="K517" i="2" s="1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K61" i="1" s="1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C39" i="1" s="1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E322" i="2"/>
  <c r="D322" i="2"/>
  <c r="C322" i="2"/>
  <c r="C33" i="1" s="1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F283" i="2"/>
  <c r="E283" i="2"/>
  <c r="D283" i="2"/>
  <c r="C283" i="2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5" i="2"/>
  <c r="E255" i="2"/>
  <c r="D255" i="2"/>
  <c r="C255" i="2"/>
  <c r="F254" i="2"/>
  <c r="E254" i="2"/>
  <c r="D254" i="2"/>
  <c r="C254" i="2"/>
  <c r="F253" i="2"/>
  <c r="E253" i="2"/>
  <c r="D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D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2" i="2"/>
  <c r="E242" i="2"/>
  <c r="D242" i="2"/>
  <c r="C242" i="2"/>
  <c r="F241" i="2"/>
  <c r="E241" i="2"/>
  <c r="D241" i="2"/>
  <c r="C241" i="2"/>
  <c r="F240" i="2"/>
  <c r="E240" i="2"/>
  <c r="D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E236" i="2"/>
  <c r="D236" i="2"/>
  <c r="C236" i="2"/>
  <c r="F235" i="2"/>
  <c r="E235" i="2"/>
  <c r="D235" i="2"/>
  <c r="C235" i="2"/>
  <c r="F234" i="2"/>
  <c r="E234" i="2"/>
  <c r="D234" i="2"/>
  <c r="C234" i="2"/>
  <c r="F233" i="2"/>
  <c r="E233" i="2"/>
  <c r="D233" i="2"/>
  <c r="C233" i="2"/>
  <c r="F232" i="2"/>
  <c r="E232" i="2"/>
  <c r="D232" i="2"/>
  <c r="C232" i="2"/>
  <c r="F231" i="2"/>
  <c r="E231" i="2"/>
  <c r="D231" i="2"/>
  <c r="C231" i="2"/>
  <c r="F229" i="2"/>
  <c r="E229" i="2"/>
  <c r="D229" i="2"/>
  <c r="C229" i="2"/>
  <c r="F228" i="2"/>
  <c r="E228" i="2"/>
  <c r="D228" i="2"/>
  <c r="C228" i="2"/>
  <c r="F227" i="2"/>
  <c r="E227" i="2"/>
  <c r="D227" i="2"/>
  <c r="C227" i="2"/>
  <c r="F226" i="2"/>
  <c r="E226" i="2"/>
  <c r="D226" i="2"/>
  <c r="C226" i="2"/>
  <c r="F225" i="2"/>
  <c r="E225" i="2"/>
  <c r="D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D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E213" i="2"/>
  <c r="D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F209" i="2"/>
  <c r="E209" i="2"/>
  <c r="D209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E199" i="2"/>
  <c r="D199" i="2"/>
  <c r="C199" i="2"/>
  <c r="F198" i="2"/>
  <c r="E198" i="2"/>
  <c r="D198" i="2"/>
  <c r="C198" i="2"/>
  <c r="F197" i="2"/>
  <c r="E197" i="2"/>
  <c r="D197" i="2"/>
  <c r="C197" i="2"/>
  <c r="F196" i="2"/>
  <c r="E196" i="2"/>
  <c r="D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C23" i="1" s="1"/>
  <c r="F190" i="2"/>
  <c r="E190" i="2"/>
  <c r="D190" i="2"/>
  <c r="C190" i="2"/>
  <c r="F189" i="2"/>
  <c r="E189" i="2"/>
  <c r="D189" i="2"/>
  <c r="C189" i="2"/>
  <c r="F188" i="2"/>
  <c r="E188" i="2"/>
  <c r="D188" i="2"/>
  <c r="C188" i="2"/>
  <c r="F187" i="2"/>
  <c r="E187" i="2"/>
  <c r="D187" i="2"/>
  <c r="C187" i="2"/>
  <c r="F186" i="2"/>
  <c r="E186" i="2"/>
  <c r="D186" i="2"/>
  <c r="C186" i="2"/>
  <c r="F185" i="2"/>
  <c r="E185" i="2"/>
  <c r="D185" i="2"/>
  <c r="C185" i="2"/>
  <c r="F184" i="2"/>
  <c r="E184" i="2"/>
  <c r="D184" i="2"/>
  <c r="C184" i="2"/>
  <c r="F183" i="2"/>
  <c r="E183" i="2"/>
  <c r="D183" i="2"/>
  <c r="C183" i="2"/>
  <c r="F182" i="2"/>
  <c r="E182" i="2"/>
  <c r="D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7" i="2"/>
  <c r="E177" i="2"/>
  <c r="D177" i="2"/>
  <c r="C177" i="2"/>
  <c r="F176" i="2"/>
  <c r="E176" i="2"/>
  <c r="D176" i="2"/>
  <c r="C176" i="2"/>
  <c r="F175" i="2"/>
  <c r="E175" i="2"/>
  <c r="D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F171" i="2"/>
  <c r="E171" i="2"/>
  <c r="D171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F166" i="2"/>
  <c r="E166" i="2"/>
  <c r="D166" i="2"/>
  <c r="C166" i="2"/>
  <c r="F164" i="2"/>
  <c r="E164" i="2"/>
  <c r="D164" i="2"/>
  <c r="C164" i="2"/>
  <c r="F163" i="2"/>
  <c r="E163" i="2"/>
  <c r="D163" i="2"/>
  <c r="F162" i="2"/>
  <c r="E162" i="2"/>
  <c r="D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E157" i="2"/>
  <c r="D157" i="2"/>
  <c r="C157" i="2"/>
  <c r="F156" i="2"/>
  <c r="E156" i="2"/>
  <c r="D156" i="2"/>
  <c r="F155" i="2"/>
  <c r="E155" i="2"/>
  <c r="D155" i="2"/>
  <c r="C155" i="2"/>
  <c r="F154" i="2"/>
  <c r="E154" i="2"/>
  <c r="D154" i="2"/>
  <c r="F153" i="2"/>
  <c r="E153" i="2"/>
  <c r="D153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C148" i="2"/>
  <c r="F147" i="2"/>
  <c r="E147" i="2"/>
  <c r="D147" i="2"/>
  <c r="F146" i="2"/>
  <c r="E146" i="2"/>
  <c r="D146" i="2"/>
  <c r="C146" i="2"/>
  <c r="F145" i="2"/>
  <c r="E145" i="2"/>
  <c r="D145" i="2"/>
  <c r="F144" i="2"/>
  <c r="E144" i="2"/>
  <c r="D144" i="2"/>
  <c r="F143" i="2"/>
  <c r="E143" i="2"/>
  <c r="D143" i="2"/>
  <c r="C143" i="2"/>
  <c r="F142" i="2"/>
  <c r="E142" i="2"/>
  <c r="D142" i="2"/>
  <c r="F141" i="2"/>
  <c r="E141" i="2"/>
  <c r="D141" i="2"/>
  <c r="C141" i="2"/>
  <c r="F140" i="2"/>
  <c r="E140" i="2"/>
  <c r="D140" i="2"/>
  <c r="C140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C134" i="2"/>
  <c r="F133" i="2"/>
  <c r="E133" i="2"/>
  <c r="D133" i="2"/>
  <c r="C133" i="2"/>
  <c r="F132" i="2"/>
  <c r="E132" i="2"/>
  <c r="D132" i="2"/>
  <c r="F131" i="2"/>
  <c r="E131" i="2"/>
  <c r="D131" i="2"/>
  <c r="F130" i="2"/>
  <c r="E130" i="2"/>
  <c r="D130" i="2"/>
  <c r="C130" i="2"/>
  <c r="F129" i="2"/>
  <c r="E129" i="2"/>
  <c r="D129" i="2"/>
  <c r="C129" i="2"/>
  <c r="F128" i="2"/>
  <c r="E128" i="2"/>
  <c r="D128" i="2"/>
  <c r="F127" i="2"/>
  <c r="E127" i="2"/>
  <c r="D127" i="2"/>
  <c r="F125" i="2"/>
  <c r="E125" i="2"/>
  <c r="D125" i="2"/>
  <c r="F124" i="2"/>
  <c r="E124" i="2"/>
  <c r="D124" i="2"/>
  <c r="F123" i="2"/>
  <c r="E123" i="2"/>
  <c r="D123" i="2"/>
  <c r="C123" i="2"/>
  <c r="F122" i="2"/>
  <c r="E122" i="2"/>
  <c r="D122" i="2"/>
  <c r="F121" i="2"/>
  <c r="E121" i="2"/>
  <c r="D121" i="2"/>
  <c r="F120" i="2"/>
  <c r="E120" i="2"/>
  <c r="D120" i="2"/>
  <c r="C120" i="2"/>
  <c r="F119" i="2"/>
  <c r="E119" i="2"/>
  <c r="D119" i="2"/>
  <c r="C119" i="2"/>
  <c r="F118" i="2"/>
  <c r="E118" i="2"/>
  <c r="D118" i="2"/>
  <c r="F117" i="2"/>
  <c r="E117" i="2"/>
  <c r="D117" i="2"/>
  <c r="F116" i="2"/>
  <c r="E116" i="2"/>
  <c r="D116" i="2"/>
  <c r="C116" i="2"/>
  <c r="F115" i="2"/>
  <c r="E115" i="2"/>
  <c r="D115" i="2"/>
  <c r="F114" i="2"/>
  <c r="E114" i="2"/>
  <c r="D114" i="2"/>
  <c r="C114" i="2"/>
  <c r="F112" i="2"/>
  <c r="E112" i="2"/>
  <c r="D112" i="2"/>
  <c r="F111" i="2"/>
  <c r="E111" i="2"/>
  <c r="D111" i="2"/>
  <c r="F110" i="2"/>
  <c r="E110" i="2"/>
  <c r="D110" i="2"/>
  <c r="C110" i="2"/>
  <c r="F109" i="2"/>
  <c r="E109" i="2"/>
  <c r="D109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C103" i="2"/>
  <c r="F102" i="2"/>
  <c r="E102" i="2"/>
  <c r="D102" i="2"/>
  <c r="F101" i="2"/>
  <c r="E101" i="2"/>
  <c r="D101" i="2"/>
  <c r="F99" i="2"/>
  <c r="E99" i="2"/>
  <c r="D99" i="2"/>
  <c r="F98" i="2"/>
  <c r="E98" i="2"/>
  <c r="D98" i="2"/>
  <c r="C98" i="2"/>
  <c r="F97" i="2"/>
  <c r="E97" i="2"/>
  <c r="D97" i="2"/>
  <c r="F96" i="2"/>
  <c r="E96" i="2"/>
  <c r="D96" i="2"/>
  <c r="F95" i="2"/>
  <c r="E95" i="2"/>
  <c r="D95" i="2"/>
  <c r="F94" i="2"/>
  <c r="E94" i="2"/>
  <c r="D94" i="2"/>
  <c r="C94" i="2"/>
  <c r="F93" i="2"/>
  <c r="E93" i="2"/>
  <c r="D93" i="2"/>
  <c r="F92" i="2"/>
  <c r="E92" i="2"/>
  <c r="D92" i="2"/>
  <c r="F91" i="2"/>
  <c r="E91" i="2"/>
  <c r="D91" i="2"/>
  <c r="C91" i="2"/>
  <c r="F90" i="2"/>
  <c r="E90" i="2"/>
  <c r="D90" i="2"/>
  <c r="F89" i="2"/>
  <c r="E89" i="2"/>
  <c r="D89" i="2"/>
  <c r="F88" i="2"/>
  <c r="E88" i="2"/>
  <c r="D88" i="2"/>
  <c r="C88" i="2"/>
  <c r="F86" i="2"/>
  <c r="E86" i="2"/>
  <c r="D86" i="2"/>
  <c r="F85" i="2"/>
  <c r="E85" i="2"/>
  <c r="D85" i="2"/>
  <c r="C85" i="2"/>
  <c r="F84" i="2"/>
  <c r="E84" i="2"/>
  <c r="D84" i="2"/>
  <c r="F83" i="2"/>
  <c r="E83" i="2"/>
  <c r="D83" i="2"/>
  <c r="F82" i="2"/>
  <c r="E82" i="2"/>
  <c r="D82" i="2"/>
  <c r="F81" i="2"/>
  <c r="E81" i="2"/>
  <c r="D81" i="2"/>
  <c r="F80" i="2"/>
  <c r="E80" i="2"/>
  <c r="D80" i="2"/>
  <c r="F79" i="2"/>
  <c r="E79" i="2"/>
  <c r="D79" i="2"/>
  <c r="F78" i="2"/>
  <c r="E78" i="2"/>
  <c r="D78" i="2"/>
  <c r="C78" i="2"/>
  <c r="F77" i="2"/>
  <c r="E77" i="2"/>
  <c r="D77" i="2"/>
  <c r="F76" i="2"/>
  <c r="E76" i="2"/>
  <c r="D76" i="2"/>
  <c r="C76" i="2"/>
  <c r="F75" i="2"/>
  <c r="E75" i="2"/>
  <c r="D75" i="2"/>
  <c r="C75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0" i="2"/>
  <c r="E60" i="2"/>
  <c r="D60" i="2"/>
  <c r="C60" i="2"/>
  <c r="F59" i="2"/>
  <c r="E59" i="2"/>
  <c r="D59" i="2"/>
  <c r="F58" i="2"/>
  <c r="E58" i="2"/>
  <c r="D58" i="2"/>
  <c r="F57" i="2"/>
  <c r="E57" i="2"/>
  <c r="D57" i="2"/>
  <c r="C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C52" i="2"/>
  <c r="C12" i="1" s="1"/>
  <c r="F51" i="2"/>
  <c r="E51" i="2"/>
  <c r="D51" i="2"/>
  <c r="F50" i="2"/>
  <c r="E50" i="2"/>
  <c r="D50" i="2"/>
  <c r="F49" i="2"/>
  <c r="E49" i="2"/>
  <c r="D49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C41" i="2"/>
  <c r="C11" i="1" s="1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/>
  <c r="E34" i="2"/>
  <c r="D34" i="2"/>
  <c r="F33" i="2"/>
  <c r="E33" i="2"/>
  <c r="D33" i="2"/>
  <c r="F32" i="2"/>
  <c r="E32" i="2"/>
  <c r="D32" i="2"/>
  <c r="C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C24" i="2"/>
  <c r="C10" i="1" s="1"/>
  <c r="F23" i="2"/>
  <c r="E23" i="2"/>
  <c r="D23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C15" i="2"/>
  <c r="C9" i="1" s="1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J62" i="1"/>
  <c r="J61" i="1"/>
  <c r="J52" i="1"/>
  <c r="J51" i="1"/>
  <c r="B48" i="1"/>
  <c r="B49" i="1" s="1"/>
  <c r="J50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C13" i="1"/>
  <c r="B13" i="1"/>
  <c r="B12" i="1"/>
  <c r="B11" i="1"/>
  <c r="B10" i="1"/>
  <c r="B9" i="1"/>
  <c r="E42" i="1" l="1"/>
  <c r="C20" i="1"/>
  <c r="C14" i="1"/>
  <c r="C36" i="1"/>
  <c r="C22" i="1"/>
  <c r="C25" i="1"/>
  <c r="C27" i="1"/>
  <c r="C37" i="1"/>
  <c r="C15" i="1"/>
  <c r="K491" i="2"/>
  <c r="C29" i="1"/>
  <c r="C18" i="1"/>
  <c r="E27" i="1"/>
  <c r="C24" i="1"/>
  <c r="C32" i="1"/>
  <c r="C21" i="1"/>
  <c r="C30" i="1"/>
  <c r="C26" i="1"/>
  <c r="C34" i="1"/>
  <c r="C35" i="1"/>
  <c r="C48" i="1"/>
  <c r="C49" i="1" s="1"/>
  <c r="C17" i="1"/>
  <c r="C28" i="1"/>
  <c r="C31" i="1"/>
  <c r="C38" i="1"/>
  <c r="C40" i="1"/>
  <c r="C41" i="1"/>
  <c r="C42" i="1"/>
  <c r="C43" i="1"/>
  <c r="C44" i="1"/>
  <c r="K50" i="1"/>
  <c r="K51" i="1"/>
  <c r="K58" i="1" s="1"/>
  <c r="C16" i="1"/>
  <c r="C19" i="1"/>
  <c r="D42" i="1"/>
  <c r="E44" i="1"/>
  <c r="E23" i="1"/>
  <c r="E48" i="1"/>
  <c r="E49" i="1" s="1"/>
  <c r="E33" i="1"/>
  <c r="E34" i="1"/>
  <c r="D48" i="1"/>
  <c r="D49" i="1" s="1"/>
  <c r="D10" i="1"/>
  <c r="D23" i="1"/>
  <c r="E37" i="1"/>
  <c r="E45" i="1"/>
  <c r="D39" i="1"/>
  <c r="D36" i="1"/>
  <c r="D22" i="1"/>
  <c r="D26" i="1"/>
  <c r="E29" i="1"/>
  <c r="D33" i="1"/>
  <c r="E28" i="1"/>
  <c r="E32" i="1"/>
  <c r="F48" i="1"/>
  <c r="F49" i="1" s="1"/>
  <c r="E30" i="1"/>
  <c r="E40" i="1"/>
  <c r="E31" i="1"/>
  <c r="E41" i="1"/>
  <c r="F16" i="1"/>
  <c r="E43" i="1"/>
  <c r="E24" i="1"/>
  <c r="E26" i="1"/>
  <c r="E38" i="1"/>
  <c r="F32" i="1"/>
  <c r="F45" i="1"/>
  <c r="E10" i="1"/>
  <c r="E13" i="1"/>
  <c r="F29" i="1"/>
  <c r="E22" i="1"/>
  <c r="E25" i="1"/>
  <c r="J58" i="1"/>
  <c r="F10" i="1"/>
  <c r="E14" i="1"/>
  <c r="E39" i="1"/>
  <c r="E46" i="1"/>
  <c r="D20" i="1"/>
  <c r="F22" i="1"/>
  <c r="F26" i="1"/>
  <c r="F37" i="1"/>
  <c r="F39" i="1"/>
  <c r="F44" i="1"/>
  <c r="F46" i="1"/>
  <c r="D15" i="1"/>
  <c r="E17" i="1"/>
  <c r="E20" i="1"/>
  <c r="D11" i="1"/>
  <c r="D16" i="1"/>
  <c r="E18" i="1"/>
  <c r="D25" i="1"/>
  <c r="D28" i="1"/>
  <c r="D34" i="1"/>
  <c r="D38" i="1"/>
  <c r="D44" i="1"/>
  <c r="J57" i="1"/>
  <c r="E16" i="1"/>
  <c r="F11" i="1"/>
  <c r="J65" i="1"/>
  <c r="E15" i="1"/>
  <c r="E21" i="1"/>
  <c r="F28" i="1"/>
  <c r="F13" i="1"/>
  <c r="D47" i="1"/>
  <c r="F23" i="1"/>
  <c r="F35" i="1"/>
  <c r="F14" i="1"/>
  <c r="F34" i="1"/>
  <c r="E47" i="1"/>
  <c r="D27" i="1"/>
  <c r="D30" i="1"/>
  <c r="D9" i="1"/>
  <c r="J48" i="1"/>
  <c r="F9" i="1"/>
  <c r="F12" i="1"/>
  <c r="E19" i="1"/>
  <c r="D21" i="1"/>
  <c r="E36" i="1"/>
  <c r="F15" i="1"/>
  <c r="F19" i="1"/>
  <c r="F25" i="1"/>
  <c r="F30" i="1"/>
  <c r="F38" i="1"/>
  <c r="F40" i="1"/>
  <c r="F42" i="1"/>
  <c r="F43" i="1"/>
  <c r="D13" i="1"/>
  <c r="D14" i="1"/>
  <c r="F21" i="1"/>
  <c r="F17" i="1"/>
  <c r="F20" i="1"/>
  <c r="D24" i="1"/>
  <c r="D35" i="1"/>
  <c r="D41" i="1"/>
  <c r="D43" i="1"/>
  <c r="E11" i="1"/>
  <c r="F18" i="1"/>
  <c r="E35" i="1"/>
  <c r="D17" i="1"/>
  <c r="F24" i="1"/>
  <c r="F27" i="1"/>
  <c r="F31" i="1"/>
  <c r="F33" i="1"/>
  <c r="F36" i="1"/>
  <c r="F41" i="1"/>
  <c r="D18" i="1"/>
  <c r="D19" i="1"/>
  <c r="F47" i="1"/>
  <c r="D29" i="1"/>
  <c r="D31" i="1"/>
  <c r="D32" i="1"/>
  <c r="D37" i="1"/>
  <c r="D40" i="1"/>
  <c r="D45" i="1"/>
  <c r="D46" i="1"/>
  <c r="D12" i="1"/>
  <c r="E9" i="1"/>
  <c r="E12" i="1"/>
  <c r="K62" i="1"/>
  <c r="K65" i="1" s="1"/>
  <c r="C47" i="1"/>
  <c r="K504" i="2"/>
  <c r="K52" i="1"/>
  <c r="K57" i="1" s="1"/>
  <c r="C45" i="1"/>
  <c r="C46" i="1"/>
  <c r="K48" i="1" l="1"/>
</calcChain>
</file>

<file path=xl/sharedStrings.xml><?xml version="1.0" encoding="utf-8"?>
<sst xmlns="http://schemas.openxmlformats.org/spreadsheetml/2006/main" count="958" uniqueCount="432">
  <si>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</si>
  <si>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</si>
  <si>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</si>
  <si>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</si>
  <si>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</si>
  <si>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</si>
  <si>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</si>
  <si>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</si>
  <si>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Capital IQ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</si>
  <si>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</si>
  <si>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</si>
  <si>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</si>
  <si>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</si>
  <si>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</si>
  <si>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</si>
  <si>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</si>
  <si>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</si>
  <si>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</si>
  <si>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</si>
  <si>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</si>
  <si>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</si>
  <si>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</si>
  <si>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</si>
  <si>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</si>
  <si>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</si>
  <si>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</si>
  <si>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</si>
  <si>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</si>
  <si>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</si>
  <si>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2024 (Mar 31)</t>
  </si>
  <si>
    <t>Total 2022</t>
  </si>
  <si>
    <t>2024 e</t>
  </si>
  <si>
    <t>Total 2023</t>
  </si>
  <si>
    <t>Percentage Change</t>
  </si>
  <si>
    <t>2023 to 2022</t>
  </si>
  <si>
    <t>2022 to 2021</t>
  </si>
  <si>
    <t>Total Jan - Mar 2023</t>
  </si>
  <si>
    <t>Total Jan - Mar 2024</t>
  </si>
  <si>
    <t>Jan - Mar 2023 to Jan - Mar 2024</t>
  </si>
  <si>
    <t>Month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</si>
  <si>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</si>
  <si>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</si>
  <si>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</si>
  <si>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</si>
  <si>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</si>
  <si>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</si>
  <si>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</si>
  <si>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</si>
  <si>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</si>
  <si>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</si>
  <si>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</si>
  <si>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</si>
  <si>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</si>
  <si>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</si>
  <si>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</si>
  <si>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</si>
  <si>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</si>
  <si>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</si>
  <si>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</si>
  <si>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</si>
  <si>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</si>
  <si>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</si>
  <si>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</si>
  <si>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</si>
  <si>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</si>
  <si>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</si>
  <si>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</si>
  <si>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</si>
  <si>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</si>
  <si>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</si>
  <si>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</si>
  <si>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</si>
  <si>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</si>
  <si>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</si>
  <si>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</si>
  <si>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</si>
  <si>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</si>
  <si>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</si>
  <si>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</si>
  <si>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</si>
  <si>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</si>
  <si>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</si>
  <si>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</si>
  <si>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</si>
  <si>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</si>
  <si>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</si>
  <si>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</si>
  <si>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</si>
  <si>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</si>
  <si>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</si>
  <si>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</si>
  <si>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</si>
  <si>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</si>
  <si>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</si>
  <si>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</si>
  <si>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</si>
  <si>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</si>
  <si>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</si>
  <si>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</si>
  <si>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</si>
  <si>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</si>
  <si>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Jan-90</t>
  </si>
  <si>
    <t>Feb-90</t>
  </si>
  <si>
    <t>Mar-90</t>
  </si>
  <si>
    <t>Apr-90</t>
  </si>
  <si>
    <t>May-90</t>
  </si>
  <si>
    <t>Jun-90</t>
  </si>
  <si>
    <t>Jul-90</t>
  </si>
  <si>
    <t>Aug-90</t>
  </si>
  <si>
    <t>Sep-90</t>
  </si>
  <si>
    <t>Oct-90</t>
  </si>
  <si>
    <t>Nov-90</t>
  </si>
  <si>
    <t>Dec-90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</si>
  <si>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</si>
  <si>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</si>
  <si>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</si>
  <si>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</si>
  <si>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</si>
  <si>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</si>
  <si>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</si>
  <si>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</si>
  <si>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</si>
  <si>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</si>
  <si>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</si>
  <si>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</si>
  <si>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</si>
  <si>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</si>
  <si>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</si>
  <si>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</si>
  <si>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</si>
  <si>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</si>
  <si>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</si>
  <si>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</si>
  <si>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</si>
  <si>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</si>
  <si>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</si>
  <si>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</si>
  <si>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</si>
  <si>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</si>
  <si>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</si>
  <si>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</si>
  <si>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</si>
  <si>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</si>
  <si>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</si>
  <si>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</si>
  <si>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</si>
  <si>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</si>
  <si>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</si>
  <si>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</si>
  <si>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</si>
  <si>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</si>
  <si>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</si>
  <si>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</si>
  <si>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</si>
  <si>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</si>
  <si>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</si>
  <si>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</si>
  <si>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</si>
  <si>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</si>
  <si>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</si>
  <si>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</si>
  <si>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</si>
  <si>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</si>
  <si>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</si>
  <si>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</si>
  <si>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</si>
  <si>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</si>
  <si>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</si>
  <si>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</si>
  <si>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</si>
  <si>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</si>
  <si>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</si>
  <si>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</si>
  <si>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</si>
  <si>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</si>
  <si>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</si>
  <si>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</si>
  <si>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</si>
  <si>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</si>
  <si>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</si>
  <si>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</si>
  <si>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</si>
  <si>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</si>
  <si>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</si>
  <si>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</si>
  <si>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</si>
  <si>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</si>
  <si>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</si>
  <si>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</si>
  <si>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</si>
  <si>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</si>
  <si>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</si>
  <si>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</si>
  <si>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</si>
  <si>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</si>
  <si>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</si>
  <si>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</si>
  <si>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</si>
  <si>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</si>
  <si>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</si>
  <si>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</si>
  <si>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</si>
  <si>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</si>
  <si>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</si>
  <si>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</si>
  <si>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</si>
  <si>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</si>
  <si>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</si>
  <si>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</si>
  <si>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</si>
  <si>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</si>
  <si>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</si>
  <si>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</si>
  <si>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</si>
  <si>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</si>
  <si>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</si>
  <si>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</si>
  <si>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</si>
  <si>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</si>
  <si>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</si>
  <si>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</si>
  <si>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</si>
  <si>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</si>
  <si>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</si>
  <si>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</si>
  <si>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</si>
  <si>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</si>
  <si>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</si>
  <si>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</si>
  <si>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</si>
  <si>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</si>
  <si>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</si>
  <si>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</si>
  <si>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</si>
  <si>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</si>
  <si>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</si>
  <si>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</si>
  <si>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</si>
  <si>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</si>
  <si>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</si>
  <si>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</si>
  <si>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</si>
  <si>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</si>
  <si>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</si>
  <si>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</si>
  <si>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</si>
  <si>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</si>
  <si>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</si>
  <si>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</si>
  <si>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</si>
  <si>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</si>
  <si>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</si>
  <si>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</si>
  <si>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</si>
  <si>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</si>
  <si>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</si>
  <si>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</si>
  <si>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</si>
  <si>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</si>
  <si>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</si>
  <si>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</si>
  <si>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</si>
  <si>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</si>
  <si>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</si>
  <si>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</si>
  <si>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</si>
  <si>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</si>
  <si>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</si>
  <si>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</si>
  <si>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</si>
  <si>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</si>
  <si>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</si>
  <si>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</si>
  <si>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</si>
  <si>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</si>
  <si>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</si>
  <si>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</si>
  <si>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</si>
  <si>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</si>
  <si>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</si>
  <si>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</si>
  <si>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</si>
  <si>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</si>
  <si>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</si>
  <si>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</si>
  <si>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</si>
  <si>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</si>
  <si>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</si>
  <si>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</si>
  <si>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</si>
  <si>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</si>
  <si>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</si>
  <si>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</si>
  <si>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</si>
  <si>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</si>
  <si>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</si>
  <si>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</si>
  <si>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</si>
  <si>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</si>
  <si>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</si>
  <si>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</si>
  <si>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</si>
  <si>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</si>
  <si>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</si>
  <si>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</si>
  <si>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</si>
  <si>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</si>
  <si>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</si>
  <si>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</si>
  <si>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</si>
  <si>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</si>
  <si>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</si>
  <si>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</si>
  <si>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</si>
  <si>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</si>
  <si>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</si>
  <si>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</si>
  <si>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</si>
  <si>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</si>
  <si>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</si>
  <si>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</si>
  <si>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</si>
  <si>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</si>
  <si>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</si>
  <si>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</si>
  <si>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</si>
  <si>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</si>
  <si>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</si>
  <si>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</si>
  <si>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</si>
  <si>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</si>
  <si>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</si>
  <si>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</si>
  <si>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</si>
  <si>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</si>
  <si>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</si>
  <si>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</si>
  <si>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</si>
  <si>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</si>
  <si>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</si>
  <si>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</si>
  <si>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</si>
  <si>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</si>
  <si>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</si>
  <si>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</si>
  <si>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</si>
  <si>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</si>
  <si>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</si>
  <si>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</si>
  <si>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</si>
  <si>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</si>
  <si>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</si>
  <si>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</si>
  <si>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</si>
  <si>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</si>
  <si>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</si>
  <si>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</si>
  <si>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</si>
  <si>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</si>
  <si>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</si>
  <si>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</si>
  <si>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</si>
  <si>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</si>
  <si>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</si>
  <si>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</si>
  <si>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</si>
  <si>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</si>
  <si>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</si>
  <si>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</si>
  <si>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</si>
  <si>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</si>
  <si>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</si>
  <si>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</si>
  <si>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</si>
  <si>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</si>
  <si>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</si>
  <si>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</si>
  <si>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</si>
  <si>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</si>
  <si>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</si>
  <si>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</si>
  <si>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</si>
  <si>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</si>
  <si>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</si>
  <si>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</si>
  <si>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</si>
  <si>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</si>
  <si>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</si>
  <si>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</si>
  <si>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</si>
  <si>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</si>
  <si>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</si>
  <si>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</si>
  <si>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</si>
  <si>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</si>
  <si>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</si>
  <si>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</si>
  <si>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</si>
  <si>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</si>
  <si>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</si>
  <si>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</si>
  <si>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</si>
  <si>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</si>
  <si>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</si>
  <si>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</si>
  <si>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</si>
  <si>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</si>
  <si>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</si>
  <si>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</si>
  <si>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</si>
  <si>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</si>
  <si>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</si>
  <si>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</si>
  <si>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</si>
  <si>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</si>
  <si>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</si>
  <si>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</si>
  <si>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</si>
  <si>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</si>
  <si>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</si>
  <si>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</si>
  <si>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</si>
  <si>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</si>
  <si>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</si>
  <si>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</si>
  <si>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</si>
  <si>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</si>
  <si>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</si>
  <si>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</si>
  <si>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Jan-Mar 2024</t>
  </si>
  <si>
    <t>Agricultural Products &amp; Services Industry</t>
  </si>
  <si>
    <t>M&amp;A Activity Summary  |  Published Date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</si>
</sst>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mmm\-d"/>
    <numFmt numFmtId="167" formatCode="mmm\-dd"/>
    <numFmt numFmtId="168" formatCode="mmmm\-dd"/>
    <numFmt numFmtId="169" formatCode="mmmm\-d"/>
    <numFmt numFmtId="170" formatCode="mmm\ yyyy"/>
    <numFmt numFmtId="171" formatCode="mmm&quot;-&quot;yy"/>
  </numFmts>
  <fonts count="13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8"/>
      <color rgb="FF000000"/>
      <name val="Arial"/>
    </font>
    <font>
      <sz val="8"/>
      <color rgb="FF000000"/>
      <name val="Verdana"/>
    </font>
    <font>
      <sz val="10"/>
      <color theme="0" tint="-4.9989318521683403E-2"/>
      <name val="Arial"/>
      <family val="2"/>
    </font>
    <font>
      <sz val="10"/>
      <name val="Arial"/>
      <family val="2"/>
    </font>
    <font>
      <sz val="9"/>
      <name val="&quot;Google Sans Mono&quot;"/>
    </font>
    <font>
      <sz val="10"/>
      <color theme="0"/>
      <name val="Arial"/>
      <family val="2"/>
    </font>
    <font>
      <sz val="26"/>
      <color theme="0"/>
      <name val="Museo Sans 900"/>
      <family val="3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F624C"/>
        <bgColor indexed="64"/>
      </patternFill>
    </fill>
    <fill>
      <patternFill patternType="solid">
        <fgColor rgb="FF1529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DF624C"/>
        <bgColor rgb="FFFFFF00"/>
      </patternFill>
    </fill>
    <fill>
      <patternFill patternType="solid">
        <fgColor theme="3" tint="0.89999084444715716"/>
        <bgColor rgb="FFFFFFFF"/>
      </patternFill>
    </fill>
    <fill>
      <patternFill patternType="solid">
        <fgColor theme="3" tint="0.89996032593768116"/>
        <bgColor rgb="FFFFFFFF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4" fontId="1" fillId="5" borderId="6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center" vertical="center"/>
    </xf>
    <xf numFmtId="3" fontId="2" fillId="7" borderId="6" xfId="0" applyNumberFormat="1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center" vertical="center"/>
    </xf>
    <xf numFmtId="3" fontId="3" fillId="7" borderId="6" xfId="0" applyNumberFormat="1" applyFon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horizontal="center" vertical="center"/>
    </xf>
    <xf numFmtId="3" fontId="1" fillId="7" borderId="6" xfId="0" applyNumberFormat="1" applyFont="1" applyFill="1" applyBorder="1" applyAlignment="1">
      <alignment horizontal="center" vertical="center"/>
    </xf>
    <xf numFmtId="4" fontId="1" fillId="7" borderId="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7" fillId="3" borderId="17" xfId="0" quotePrefix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3" fontId="7" fillId="4" borderId="21" xfId="0" applyNumberFormat="1" applyFont="1" applyFill="1" applyBorder="1" applyAlignment="1">
      <alignment horizontal="center" vertical="center"/>
    </xf>
    <xf numFmtId="3" fontId="7" fillId="4" borderId="2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7" borderId="5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/>
    </xf>
    <xf numFmtId="3" fontId="8" fillId="7" borderId="5" xfId="0" applyNumberFormat="1" applyFont="1" applyFill="1" applyBorder="1" applyAlignment="1">
      <alignment horizontal="center" vertical="center"/>
    </xf>
    <xf numFmtId="165" fontId="8" fillId="7" borderId="6" xfId="0" applyNumberFormat="1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3" fontId="10" fillId="9" borderId="6" xfId="0" applyNumberFormat="1" applyFont="1" applyFill="1" applyBorder="1" applyAlignment="1">
      <alignment horizontal="center" vertical="center"/>
    </xf>
    <xf numFmtId="165" fontId="10" fillId="9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3" fontId="1" fillId="8" borderId="6" xfId="0" applyNumberFormat="1" applyFont="1" applyFill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3" fontId="1" fillId="10" borderId="6" xfId="0" applyNumberFormat="1" applyFont="1" applyFill="1" applyBorder="1" applyAlignment="1">
      <alignment horizontal="center" vertical="center"/>
    </xf>
    <xf numFmtId="165" fontId="1" fillId="10" borderId="6" xfId="0" applyNumberFormat="1" applyFont="1" applyFill="1" applyBorder="1" applyAlignment="1">
      <alignment horizontal="center" vertical="center"/>
    </xf>
    <xf numFmtId="4" fontId="1" fillId="6" borderId="6" xfId="0" applyNumberFormat="1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3" fontId="1" fillId="10" borderId="8" xfId="0" applyNumberFormat="1" applyFont="1" applyFill="1" applyBorder="1" applyAlignment="1">
      <alignment horizontal="center" vertical="center"/>
    </xf>
    <xf numFmtId="165" fontId="1" fillId="10" borderId="8" xfId="0" applyNumberFormat="1" applyFont="1" applyFill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4" fontId="1" fillId="8" borderId="6" xfId="0" applyNumberFormat="1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3" fontId="1" fillId="11" borderId="6" xfId="0" applyNumberFormat="1" applyFont="1" applyFill="1" applyBorder="1" applyAlignment="1">
      <alignment horizontal="center" vertical="center"/>
    </xf>
    <xf numFmtId="165" fontId="1" fillId="11" borderId="6" xfId="0" applyNumberFormat="1" applyFont="1" applyFill="1" applyBorder="1" applyAlignment="1">
      <alignment horizontal="center" vertical="center"/>
    </xf>
    <xf numFmtId="4" fontId="1" fillId="11" borderId="6" xfId="0" applyNumberFormat="1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3" fontId="1" fillId="11" borderId="8" xfId="0" applyNumberFormat="1" applyFont="1" applyFill="1" applyBorder="1" applyAlignment="1">
      <alignment horizontal="center" vertical="center"/>
    </xf>
    <xf numFmtId="165" fontId="1" fillId="11" borderId="8" xfId="0" applyNumberFormat="1" applyFont="1" applyFill="1" applyBorder="1" applyAlignment="1">
      <alignment horizontal="center" vertical="center"/>
    </xf>
    <xf numFmtId="4" fontId="1" fillId="11" borderId="8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167" fontId="1" fillId="8" borderId="6" xfId="0" applyNumberFormat="1" applyFont="1" applyFill="1" applyBorder="1" applyAlignment="1">
      <alignment horizontal="center" vertical="center"/>
    </xf>
    <xf numFmtId="168" fontId="1" fillId="8" borderId="6" xfId="0" applyNumberFormat="1" applyFont="1" applyFill="1" applyBorder="1" applyAlignment="1">
      <alignment horizontal="center" vertical="center"/>
    </xf>
    <xf numFmtId="167" fontId="1" fillId="11" borderId="6" xfId="0" applyNumberFormat="1" applyFont="1" applyFill="1" applyBorder="1" applyAlignment="1">
      <alignment horizontal="center" vertical="center"/>
    </xf>
    <xf numFmtId="167" fontId="1" fillId="11" borderId="8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11" borderId="6" xfId="0" applyNumberFormat="1" applyFont="1" applyFill="1" applyBorder="1" applyAlignment="1">
      <alignment horizontal="center" vertical="center"/>
    </xf>
    <xf numFmtId="49" fontId="1" fillId="11" borderId="8" xfId="0" applyNumberFormat="1" applyFont="1" applyFill="1" applyBorder="1" applyAlignment="1">
      <alignment horizontal="center" vertical="center"/>
    </xf>
    <xf numFmtId="3" fontId="4" fillId="8" borderId="6" xfId="0" applyNumberFormat="1" applyFont="1" applyFill="1" applyBorder="1" applyAlignment="1">
      <alignment horizontal="center" vertical="center"/>
    </xf>
    <xf numFmtId="3" fontId="4" fillId="11" borderId="6" xfId="0" applyNumberFormat="1" applyFont="1" applyFill="1" applyBorder="1" applyAlignment="1">
      <alignment horizontal="center" vertical="center"/>
    </xf>
    <xf numFmtId="3" fontId="4" fillId="11" borderId="8" xfId="0" applyNumberFormat="1" applyFont="1" applyFill="1" applyBorder="1" applyAlignment="1">
      <alignment horizontal="center" vertical="center"/>
    </xf>
    <xf numFmtId="4" fontId="10" fillId="9" borderId="6" xfId="0" applyNumberFormat="1" applyFont="1" applyFill="1" applyBorder="1" applyAlignment="1">
      <alignment horizontal="center" vertical="center"/>
    </xf>
    <xf numFmtId="3" fontId="5" fillId="11" borderId="6" xfId="0" applyNumberFormat="1" applyFont="1" applyFill="1" applyBorder="1" applyAlignment="1">
      <alignment horizontal="center" vertical="center"/>
    </xf>
    <xf numFmtId="166" fontId="1" fillId="8" borderId="6" xfId="0" applyNumberFormat="1" applyFont="1" applyFill="1" applyBorder="1" applyAlignment="1">
      <alignment horizontal="center" vertical="center"/>
    </xf>
    <xf numFmtId="4" fontId="4" fillId="8" borderId="6" xfId="0" applyNumberFormat="1" applyFont="1" applyFill="1" applyBorder="1" applyAlignment="1">
      <alignment horizontal="center" vertical="center"/>
    </xf>
    <xf numFmtId="166" fontId="1" fillId="11" borderId="6" xfId="0" applyNumberFormat="1" applyFont="1" applyFill="1" applyBorder="1" applyAlignment="1">
      <alignment horizontal="center" vertical="center"/>
    </xf>
    <xf numFmtId="4" fontId="4" fillId="11" borderId="6" xfId="0" applyNumberFormat="1" applyFont="1" applyFill="1" applyBorder="1" applyAlignment="1">
      <alignment horizontal="center" vertical="center"/>
    </xf>
    <xf numFmtId="166" fontId="1" fillId="11" borderId="8" xfId="0" applyNumberFormat="1" applyFont="1" applyFill="1" applyBorder="1" applyAlignment="1">
      <alignment horizontal="center" vertical="center"/>
    </xf>
    <xf numFmtId="4" fontId="4" fillId="11" borderId="8" xfId="0" applyNumberFormat="1" applyFont="1" applyFill="1" applyBorder="1" applyAlignment="1">
      <alignment horizontal="center" vertical="center"/>
    </xf>
    <xf numFmtId="169" fontId="1" fillId="8" borderId="6" xfId="0" applyNumberFormat="1" applyFont="1" applyFill="1" applyBorder="1" applyAlignment="1">
      <alignment horizontal="center" vertical="center"/>
    </xf>
    <xf numFmtId="165" fontId="6" fillId="11" borderId="8" xfId="0" applyNumberFormat="1" applyFont="1" applyFill="1" applyBorder="1" applyAlignment="1">
      <alignment horizontal="center" vertical="center"/>
    </xf>
    <xf numFmtId="169" fontId="1" fillId="11" borderId="6" xfId="0" applyNumberFormat="1" applyFont="1" applyFill="1" applyBorder="1" applyAlignment="1">
      <alignment horizontal="center" vertical="center"/>
    </xf>
    <xf numFmtId="166" fontId="3" fillId="11" borderId="6" xfId="0" applyNumberFormat="1" applyFont="1" applyFill="1" applyBorder="1" applyAlignment="1">
      <alignment horizontal="center" vertical="center"/>
    </xf>
    <xf numFmtId="166" fontId="3" fillId="11" borderId="8" xfId="0" applyNumberFormat="1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171" fontId="1" fillId="8" borderId="6" xfId="0" applyNumberFormat="1" applyFont="1" applyFill="1" applyBorder="1" applyAlignment="1">
      <alignment horizontal="center" vertical="center"/>
    </xf>
    <xf numFmtId="165" fontId="2" fillId="8" borderId="6" xfId="0" applyNumberFormat="1" applyFont="1" applyFill="1" applyBorder="1" applyAlignment="1">
      <alignment horizontal="center" vertical="center"/>
    </xf>
    <xf numFmtId="171" fontId="1" fillId="11" borderId="6" xfId="0" applyNumberFormat="1" applyFont="1" applyFill="1" applyBorder="1" applyAlignment="1">
      <alignment horizontal="center" vertical="center"/>
    </xf>
    <xf numFmtId="165" fontId="2" fillId="11" borderId="6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4" fontId="10" fillId="4" borderId="30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4" fontId="10" fillId="4" borderId="22" xfId="0" applyNumberFormat="1" applyFont="1" applyFill="1" applyBorder="1" applyAlignment="1">
      <alignment horizontal="center" vertical="center"/>
    </xf>
    <xf numFmtId="170" fontId="10" fillId="4" borderId="20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2" fontId="9" fillId="8" borderId="3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152963"/>
                </a:solidFill>
                <a:latin typeface="Museo Sans 900" panose="02000000000000000000" pitchFamily="50" charset="0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Agricultural Products &amp; Services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Annually!$B$9:$B$49</c:f>
              <c:numCache>
                <c:formatCode>#,##0</c:formatCode>
                <c:ptCount val="41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32</c:v>
                </c:pt>
                <c:pt idx="11">
                  <c:v>26</c:v>
                </c:pt>
                <c:pt idx="12">
                  <c:v>34</c:v>
                </c:pt>
                <c:pt idx="13">
                  <c:v>146</c:v>
                </c:pt>
                <c:pt idx="14">
                  <c:v>170</c:v>
                </c:pt>
                <c:pt idx="15">
                  <c:v>162</c:v>
                </c:pt>
                <c:pt idx="16">
                  <c:v>280</c:v>
                </c:pt>
                <c:pt idx="17">
                  <c:v>250</c:v>
                </c:pt>
                <c:pt idx="18">
                  <c:v>287</c:v>
                </c:pt>
                <c:pt idx="19">
                  <c:v>323</c:v>
                </c:pt>
                <c:pt idx="20">
                  <c:v>620</c:v>
                </c:pt>
                <c:pt idx="21">
                  <c:v>875</c:v>
                </c:pt>
                <c:pt idx="22">
                  <c:v>1106</c:v>
                </c:pt>
                <c:pt idx="23">
                  <c:v>950</c:v>
                </c:pt>
                <c:pt idx="24">
                  <c:v>768</c:v>
                </c:pt>
                <c:pt idx="25">
                  <c:v>966</c:v>
                </c:pt>
                <c:pt idx="26">
                  <c:v>1103</c:v>
                </c:pt>
                <c:pt idx="27">
                  <c:v>1058</c:v>
                </c:pt>
                <c:pt idx="28">
                  <c:v>1114</c:v>
                </c:pt>
                <c:pt idx="29">
                  <c:v>1123</c:v>
                </c:pt>
                <c:pt idx="30">
                  <c:v>1059</c:v>
                </c:pt>
                <c:pt idx="31">
                  <c:v>1077</c:v>
                </c:pt>
                <c:pt idx="32">
                  <c:v>1103</c:v>
                </c:pt>
                <c:pt idx="33">
                  <c:v>984</c:v>
                </c:pt>
                <c:pt idx="34">
                  <c:v>866</c:v>
                </c:pt>
                <c:pt idx="35">
                  <c:v>810</c:v>
                </c:pt>
                <c:pt idx="36">
                  <c:v>847</c:v>
                </c:pt>
                <c:pt idx="37">
                  <c:v>692</c:v>
                </c:pt>
                <c:pt idx="38">
                  <c:v>506</c:v>
                </c:pt>
                <c:pt idx="39">
                  <c:v>119</c:v>
                </c:pt>
                <c:pt idx="40">
                  <c:v>476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55D-494C-A4E0-0D3A44D0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5826584"/>
        <c:axId val="1801115868"/>
      </c:barChart>
      <c:lineChart>
        <c:grouping val="standard"/>
        <c:varyColors val="0"/>
        <c:ser>
          <c:idx val="1"/>
          <c:order val="1"/>
          <c:tx>
            <c:strRef>
              <c:f>Annually!$C$8</c:f>
              <c:strCache>
                <c:ptCount val="1"/>
                <c:pt idx="0">
                  <c:v>in bil. USD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Annually!$C$9:$C$49</c:f>
              <c:numCache>
                <c:formatCode>#,##0.00</c:formatCode>
                <c:ptCount val="41"/>
                <c:pt idx="0">
                  <c:v>0.15009999999999998</c:v>
                </c:pt>
                <c:pt idx="1">
                  <c:v>0.30059999999999998</c:v>
                </c:pt>
                <c:pt idx="2">
                  <c:v>5.64E-3</c:v>
                </c:pt>
                <c:pt idx="3">
                  <c:v>0.56520000000000004</c:v>
                </c:pt>
                <c:pt idx="4">
                  <c:v>0</c:v>
                </c:pt>
                <c:pt idx="5">
                  <c:v>0.87319999999999998</c:v>
                </c:pt>
                <c:pt idx="6">
                  <c:v>0.69115000000000004</c:v>
                </c:pt>
                <c:pt idx="7">
                  <c:v>0.59736999999999996</c:v>
                </c:pt>
                <c:pt idx="8">
                  <c:v>0.90999999999999992</c:v>
                </c:pt>
                <c:pt idx="9">
                  <c:v>0.84599999999999997</c:v>
                </c:pt>
                <c:pt idx="10">
                  <c:v>1.6544000000000001</c:v>
                </c:pt>
                <c:pt idx="11">
                  <c:v>0.92750000000000021</c:v>
                </c:pt>
                <c:pt idx="12">
                  <c:v>4.8553999999999995</c:v>
                </c:pt>
                <c:pt idx="13">
                  <c:v>18.674399999999999</c:v>
                </c:pt>
                <c:pt idx="14">
                  <c:v>15.2691</c:v>
                </c:pt>
                <c:pt idx="15">
                  <c:v>55.451899999999995</c:v>
                </c:pt>
                <c:pt idx="16">
                  <c:v>26.877400000000002</c:v>
                </c:pt>
                <c:pt idx="17">
                  <c:v>27.510799999999996</c:v>
                </c:pt>
                <c:pt idx="18">
                  <c:v>29.789300000000001</c:v>
                </c:pt>
                <c:pt idx="19">
                  <c:v>16.331099999999999</c:v>
                </c:pt>
                <c:pt idx="20">
                  <c:v>47.028799999999997</c:v>
                </c:pt>
                <c:pt idx="21">
                  <c:v>83.785499999999999</c:v>
                </c:pt>
                <c:pt idx="22">
                  <c:v>69.204889999999992</c:v>
                </c:pt>
                <c:pt idx="23">
                  <c:v>56.865499999999997</c:v>
                </c:pt>
                <c:pt idx="24">
                  <c:v>62.066800000000008</c:v>
                </c:pt>
                <c:pt idx="25">
                  <c:v>74.280600000000007</c:v>
                </c:pt>
                <c:pt idx="26">
                  <c:v>97.589600000000004</c:v>
                </c:pt>
                <c:pt idx="27">
                  <c:v>97.369699999999995</c:v>
                </c:pt>
                <c:pt idx="28">
                  <c:v>58.054919999999996</c:v>
                </c:pt>
                <c:pt idx="29">
                  <c:v>117.38669999999999</c:v>
                </c:pt>
                <c:pt idx="30">
                  <c:v>166.61170000000001</c:v>
                </c:pt>
                <c:pt idx="31">
                  <c:v>184.63300000000001</c:v>
                </c:pt>
                <c:pt idx="32">
                  <c:v>75.654399999999995</c:v>
                </c:pt>
                <c:pt idx="33">
                  <c:v>102.81049999999999</c:v>
                </c:pt>
                <c:pt idx="34">
                  <c:v>48.521599999999999</c:v>
                </c:pt>
                <c:pt idx="35">
                  <c:v>38.0732</c:v>
                </c:pt>
                <c:pt idx="36">
                  <c:v>61.25</c:v>
                </c:pt>
                <c:pt idx="37">
                  <c:v>44.415199999999999</c:v>
                </c:pt>
                <c:pt idx="38">
                  <c:v>50.761000000000003</c:v>
                </c:pt>
                <c:pt idx="39">
                  <c:v>2.7849999999999997</c:v>
                </c:pt>
                <c:pt idx="40">
                  <c:v>11.139999999999999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5D-494C-A4E0-0D3A44D0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2919"/>
        <c:axId val="950457624"/>
      </c:lineChart>
      <c:catAx>
        <c:axId val="180582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000" b="1">
                <a:solidFill>
                  <a:srgbClr val="22222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01115868"/>
        <c:crosses val="autoZero"/>
        <c:auto val="1"/>
        <c:lblAlgn val="ctr"/>
        <c:lblOffset val="100"/>
        <c:noMultiLvlLbl val="1"/>
      </c:catAx>
      <c:valAx>
        <c:axId val="1801115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05826584"/>
        <c:crosses val="autoZero"/>
        <c:crossBetween val="between"/>
      </c:valAx>
      <c:catAx>
        <c:axId val="1578291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50457624"/>
        <c:crosses val="autoZero"/>
        <c:auto val="1"/>
        <c:lblAlgn val="ctr"/>
        <c:lblOffset val="100"/>
        <c:noMultiLvlLbl val="1"/>
      </c:catAx>
      <c:valAx>
        <c:axId val="950457624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Value of Transactions (in bil. USD)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5782919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>
              <a:solidFill>
                <a:srgbClr val="222222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21227</xdr:colOff>
      <xdr:row>6</xdr:row>
      <xdr:rowOff>17416</xdr:rowOff>
    </xdr:from>
    <xdr:ext cx="14062166" cy="6510202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365141</xdr:colOff>
      <xdr:row>3</xdr:row>
      <xdr:rowOff>13608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D90A93-24B8-29A4-0CB8-84ABF6301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5998" cy="62592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0.48356</cdr:x>
      <cdr:y>0.88733</cdr:y>
    </cdr:from>
    <cdr:to>
      <cdr:x>0.51981</cdr:x>
      <cdr:y>0.9287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83E5AA9F-649A-A406-AB8F-A716BF125948}"/>
            </a:ext>
          </a:extLst>
        </cdr:cNvPr>
        <cdr:cNvSpPr txBox="1"/>
      </cdr:nvSpPr>
      <cdr:spPr>
        <a:xfrm xmlns:a="http://schemas.openxmlformats.org/drawingml/2006/main">
          <a:off x="6799943" y="5776685"/>
          <a:ext cx="509755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PH" sz="1200">
              <a:latin typeface="Arial" panose="020B0604020202020204" pitchFamily="34" charset="0"/>
              <a:cs typeface="Arial" panose="020B0604020202020204" pitchFamily="34" charset="0"/>
            </a:rPr>
            <a:t>Year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361331</xdr:colOff>
      <xdr:row>3</xdr:row>
      <xdr:rowOff>17418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2DD606-68FB-4548-9258-4DA8AB01A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106" cy="617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topLeftCell="A6" zoomScale="70" zoomScaleNormal="70" workbookViewId="0">
      <selection activeCell="O62" sqref="O62"/>
    </sheetView>
  </sheetViews>
  <sheetFormatPr defaultColWidth="12.6640625" defaultRowHeight="15.75" customHeight="1" x14ac:dyDescent="0.25"/>
  <cols>
    <col min="1" max="5" width="12.6640625" style="1"/>
    <col min="6" max="6" width="14.33203125" style="1" customWidth="1"/>
    <col min="7" max="7" width="15.44140625" style="1" customWidth="1"/>
    <col min="8" max="8" width="12.6640625" style="1"/>
    <col min="9" max="9" width="31.6640625" style="1" customWidth="1"/>
    <col min="10" max="10" width="27.88671875" style="1" customWidth="1"/>
    <col min="11" max="11" width="31.6640625" style="1" customWidth="1"/>
    <col min="12" max="16384" width="12.6640625" style="1"/>
  </cols>
  <sheetData>
    <row r="1" spans="1:26" ht="15.75" customHeight="1" x14ac:dyDescent="0.25">
      <c r="A1" s="128" t="s">
        <v>430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30"/>
    </row>
    <row r="2" spans="1:26" ht="15.75" customHeigh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</row>
    <row r="3" spans="1:26" ht="15.75" customHeigh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6" ht="15.75" customHeight="1" x14ac:dyDescent="0.25">
      <c r="A4" s="134" t="s">
        <v>431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6"/>
    </row>
    <row r="7" spans="1:26" ht="25.2" customHeight="1" x14ac:dyDescent="0.25">
      <c r="A7" s="139" t="s">
        <v>0</v>
      </c>
      <c r="B7" s="141" t="s">
        <v>1</v>
      </c>
      <c r="C7" s="137" t="s">
        <v>2</v>
      </c>
      <c r="D7" s="138"/>
      <c r="E7" s="138"/>
      <c r="F7" s="138"/>
      <c r="G7" s="143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40"/>
      <c r="B8" s="142"/>
      <c r="C8" s="6" t="s">
        <v>4</v>
      </c>
      <c r="D8" s="7" t="s">
        <v>5</v>
      </c>
      <c r="E8" s="7" t="s">
        <v>6</v>
      </c>
      <c r="F8" s="7" t="s">
        <v>7</v>
      </c>
      <c r="G8" s="14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24">
        <v>1985</v>
      </c>
      <c r="B9" s="8">
        <f>SUM(Monthly!B10:B21)</f>
        <v>3</v>
      </c>
      <c r="C9" s="9">
        <f>SUM(Monthly!C10:C21)</f>
        <v>0.15009999999999998</v>
      </c>
      <c r="D9" s="9">
        <f ca="1">SUM(Monthly!D10:D21)</f>
        <v>0.206987899999999</v>
      </c>
      <c r="E9" s="9">
        <f ca="1">SUM(Monthly!E10:E21)</f>
        <v>0.11734067499999901</v>
      </c>
      <c r="F9" s="9">
        <f ca="1">SUM(Monthly!F10:F21)</f>
        <v>37.341127499999999</v>
      </c>
      <c r="G9" s="25" t="s">
        <v>8</v>
      </c>
    </row>
    <row r="10" spans="1:26" ht="13.2" x14ac:dyDescent="0.25">
      <c r="A10" s="26">
        <v>1986</v>
      </c>
      <c r="B10" s="16">
        <f>SUM(Monthly!B23:B34)</f>
        <v>4</v>
      </c>
      <c r="C10" s="17">
        <f>SUM(Monthly!C23:C34)</f>
        <v>0.30059999999999998</v>
      </c>
      <c r="D10" s="17">
        <f ca="1">SUM(Monthly!D23:D34)</f>
        <v>0.322873999999999</v>
      </c>
      <c r="E10" s="17">
        <f ca="1">SUM(Monthly!E23:E34)</f>
        <v>0.21179397999999999</v>
      </c>
      <c r="F10" s="17">
        <f ca="1">SUM(Monthly!F23:F34)</f>
        <v>54.505759999999995</v>
      </c>
      <c r="G10" s="27" t="s">
        <v>8</v>
      </c>
    </row>
    <row r="11" spans="1:26" ht="13.2" x14ac:dyDescent="0.25">
      <c r="A11" s="26">
        <v>1987</v>
      </c>
      <c r="B11" s="10">
        <f>SUM(Monthly!B36:B47)</f>
        <v>2</v>
      </c>
      <c r="C11" s="11">
        <f>SUM(Monthly!C36:C47)</f>
        <v>5.64E-3</v>
      </c>
      <c r="D11" s="11">
        <f ca="1">SUM(Monthly!D36:D47)</f>
        <v>4.9127219999999996E-3</v>
      </c>
      <c r="E11" s="11">
        <f ca="1">SUM(Monthly!E36:E47)</f>
        <v>3.4615499999999999E-3</v>
      </c>
      <c r="F11" s="11">
        <f ca="1">SUM(Monthly!F36:F47)</f>
        <v>0.81568499999999999</v>
      </c>
      <c r="G11" s="28" t="s">
        <v>8</v>
      </c>
    </row>
    <row r="12" spans="1:26" ht="13.2" x14ac:dyDescent="0.25">
      <c r="A12" s="26">
        <v>1988</v>
      </c>
      <c r="B12" s="18">
        <f>SUM(Monthly!B49:B60)</f>
        <v>6</v>
      </c>
      <c r="C12" s="19">
        <f>SUM(Monthly!C49:C60)</f>
        <v>0.56520000000000004</v>
      </c>
      <c r="D12" s="19">
        <f ca="1">SUM(Monthly!D49:D60)</f>
        <v>0.48190047999999897</v>
      </c>
      <c r="E12" s="19">
        <f ca="1">SUM(Monthly!E49:E60)</f>
        <v>0.31918661999999903</v>
      </c>
      <c r="F12" s="19">
        <f ca="1">SUM(Monthly!F49:F60)</f>
        <v>73.159843999999993</v>
      </c>
      <c r="G12" s="29" t="s">
        <v>8</v>
      </c>
    </row>
    <row r="13" spans="1:26" ht="13.2" x14ac:dyDescent="0.25">
      <c r="A13" s="26">
        <v>1989</v>
      </c>
      <c r="B13" s="10">
        <f>SUM(Monthly!B62:B73)</f>
        <v>6</v>
      </c>
      <c r="C13" s="11">
        <f>SUM(Monthly!C62:C73)</f>
        <v>0</v>
      </c>
      <c r="D13" s="11">
        <f ca="1">SUM(Monthly!D62:D73)</f>
        <v>0</v>
      </c>
      <c r="E13" s="11">
        <f ca="1">SUM(Monthly!E62:E73)</f>
        <v>0</v>
      </c>
      <c r="F13" s="11">
        <f ca="1">SUM(Monthly!F62:F73)</f>
        <v>0</v>
      </c>
      <c r="G13" s="28" t="s">
        <v>8</v>
      </c>
    </row>
    <row r="14" spans="1:26" ht="13.2" x14ac:dyDescent="0.25">
      <c r="A14" s="26">
        <v>1990</v>
      </c>
      <c r="B14" s="18">
        <f>SUM(Monthly!B75:B86)</f>
        <v>8</v>
      </c>
      <c r="C14" s="19">
        <f>SUM(Monthly!C75:C86)</f>
        <v>0.87319999999999998</v>
      </c>
      <c r="D14" s="19">
        <f ca="1">SUM(Monthly!D75:D86)</f>
        <v>0.67091559999999895</v>
      </c>
      <c r="E14" s="19">
        <f ca="1">SUM(Monthly!E75:E86)</f>
        <v>0.48912634999999893</v>
      </c>
      <c r="F14" s="19">
        <f ca="1">SUM(Monthly!F75:F86)</f>
        <v>50.235703874999899</v>
      </c>
      <c r="G14" s="29" t="s">
        <v>8</v>
      </c>
    </row>
    <row r="15" spans="1:26" ht="13.2" x14ac:dyDescent="0.25">
      <c r="A15" s="26">
        <v>1991</v>
      </c>
      <c r="B15" s="10">
        <f>SUM(Monthly!B88:B99)</f>
        <v>10</v>
      </c>
      <c r="C15" s="11">
        <f>SUM(Monthly!C88:C99)</f>
        <v>0.69115000000000004</v>
      </c>
      <c r="D15" s="11">
        <f ca="1">SUM(Monthly!D88:D99)</f>
        <v>0.55708934499999996</v>
      </c>
      <c r="E15" s="11">
        <f ca="1">SUM(Monthly!E88:E99)</f>
        <v>0.39260285</v>
      </c>
      <c r="F15" s="11">
        <f ca="1">SUM(Monthly!F88:F99)</f>
        <v>94.631587999999994</v>
      </c>
      <c r="G15" s="28" t="s">
        <v>8</v>
      </c>
    </row>
    <row r="16" spans="1:26" ht="13.2" x14ac:dyDescent="0.25">
      <c r="A16" s="26">
        <v>1992</v>
      </c>
      <c r="B16" s="18">
        <f>SUM(Monthly!B101:B112)</f>
        <v>7</v>
      </c>
      <c r="C16" s="19">
        <f>SUM(Monthly!C101:C112)</f>
        <v>0.59736999999999996</v>
      </c>
      <c r="D16" s="19">
        <f ca="1">SUM(Monthly!D101:D112)</f>
        <v>0.438557876499999</v>
      </c>
      <c r="E16" s="19">
        <f ca="1">SUM(Monthly!E101:E112)</f>
        <v>0.35630846300000002</v>
      </c>
      <c r="F16" s="19">
        <f ca="1">SUM(Monthly!F101:F112)</f>
        <v>72.351781500000001</v>
      </c>
      <c r="G16" s="29" t="s">
        <v>8</v>
      </c>
    </row>
    <row r="17" spans="1:7" ht="13.2" x14ac:dyDescent="0.25">
      <c r="A17" s="26">
        <v>1993</v>
      </c>
      <c r="B17" s="10">
        <f>SUM(Monthly!B114:B125)</f>
        <v>10</v>
      </c>
      <c r="C17" s="11">
        <f>SUM(Monthly!C114:C125)</f>
        <v>0.90999999999999992</v>
      </c>
      <c r="D17" s="11">
        <f ca="1">SUM(Monthly!D114:D125)</f>
        <v>0.75949820999999895</v>
      </c>
      <c r="E17" s="11">
        <f ca="1">SUM(Monthly!E114:E125)</f>
        <v>0.60440035499999989</v>
      </c>
      <c r="F17" s="11">
        <f ca="1">SUM(Monthly!F114:F125)</f>
        <v>97.818527499999988</v>
      </c>
      <c r="G17" s="28" t="s">
        <v>8</v>
      </c>
    </row>
    <row r="18" spans="1:7" ht="13.2" x14ac:dyDescent="0.25">
      <c r="A18" s="26">
        <v>1994</v>
      </c>
      <c r="B18" s="18">
        <f>SUM(Monthly!B127:B138)</f>
        <v>9</v>
      </c>
      <c r="C18" s="19">
        <f>SUM(Monthly!C127:C138)</f>
        <v>0.84599999999999997</v>
      </c>
      <c r="D18" s="19">
        <f ca="1">SUM(Monthly!D127:D138)</f>
        <v>0.70124260000000005</v>
      </c>
      <c r="E18" s="19">
        <f ca="1">SUM(Monthly!E127:E138)</f>
        <v>0.55694589999999999</v>
      </c>
      <c r="F18" s="19">
        <f ca="1">SUM(Monthly!F127:F138)</f>
        <v>85.85736</v>
      </c>
      <c r="G18" s="29" t="s">
        <v>8</v>
      </c>
    </row>
    <row r="19" spans="1:7" ht="13.2" x14ac:dyDescent="0.25">
      <c r="A19" s="26">
        <v>1995</v>
      </c>
      <c r="B19" s="10">
        <f>SUM(Monthly!B140:B151)</f>
        <v>32</v>
      </c>
      <c r="C19" s="11">
        <f>SUM(Monthly!C140:C151)</f>
        <v>1.6544000000000001</v>
      </c>
      <c r="D19" s="11">
        <f ca="1">SUM(Monthly!D140:D151)</f>
        <v>1.2817446699999999</v>
      </c>
      <c r="E19" s="11">
        <f ca="1">SUM(Monthly!E140:E151)</f>
        <v>1.05151218</v>
      </c>
      <c r="F19" s="11">
        <f ca="1">SUM(Monthly!F140:F151)</f>
        <v>159.98966849999999</v>
      </c>
      <c r="G19" s="28" t="s">
        <v>8</v>
      </c>
    </row>
    <row r="20" spans="1:7" ht="13.2" x14ac:dyDescent="0.25">
      <c r="A20" s="26">
        <v>1996</v>
      </c>
      <c r="B20" s="18">
        <f>SUM(Monthly!B153:B164)</f>
        <v>26</v>
      </c>
      <c r="C20" s="19">
        <f>SUM(Monthly!C153:C164)</f>
        <v>0.92750000000000021</v>
      </c>
      <c r="D20" s="19">
        <f ca="1">SUM(Monthly!D153:D164)</f>
        <v>0.73396358999999878</v>
      </c>
      <c r="E20" s="19">
        <f ca="1">SUM(Monthly!E153:E164)</f>
        <v>0.59002555999999995</v>
      </c>
      <c r="F20" s="19">
        <f ca="1">SUM(Monthly!F153:F164)</f>
        <v>102.12624249999999</v>
      </c>
      <c r="G20" s="29" t="s">
        <v>8</v>
      </c>
    </row>
    <row r="21" spans="1:7" ht="13.2" x14ac:dyDescent="0.25">
      <c r="A21" s="26">
        <v>1997</v>
      </c>
      <c r="B21" s="10">
        <f>SUM(Monthly!B166:B177)</f>
        <v>34</v>
      </c>
      <c r="C21" s="11">
        <f>SUM(Monthly!C166:C177)</f>
        <v>4.8553999999999995</v>
      </c>
      <c r="D21" s="11">
        <f ca="1">SUM(Monthly!D166:D177)</f>
        <v>4.2486395099999976</v>
      </c>
      <c r="E21" s="11">
        <f ca="1">SUM(Monthly!E166:E177)</f>
        <v>2.9425582199999987</v>
      </c>
      <c r="F21" s="11">
        <f ca="1">SUM(Monthly!F166:F177)</f>
        <v>573.3582775000001</v>
      </c>
      <c r="G21" s="28" t="s">
        <v>8</v>
      </c>
    </row>
    <row r="22" spans="1:7" ht="13.2" x14ac:dyDescent="0.25">
      <c r="A22" s="26">
        <v>1998</v>
      </c>
      <c r="B22" s="18">
        <f>SUM(Monthly!B179:B190)</f>
        <v>146</v>
      </c>
      <c r="C22" s="19">
        <f>SUM(Monthly!C179:C190)</f>
        <v>18.674399999999999</v>
      </c>
      <c r="D22" s="19">
        <f ca="1">SUM(Monthly!D179:D190)</f>
        <v>16.538511244999999</v>
      </c>
      <c r="E22" s="19">
        <f ca="1">SUM(Monthly!E179:E190)</f>
        <v>11.281424034999995</v>
      </c>
      <c r="F22" s="19">
        <f ca="1">SUM(Monthly!F179:F190)</f>
        <v>2434.2891489999997</v>
      </c>
      <c r="G22" s="29" t="s">
        <v>8</v>
      </c>
    </row>
    <row r="23" spans="1:7" ht="13.2" x14ac:dyDescent="0.25">
      <c r="A23" s="26">
        <v>1999</v>
      </c>
      <c r="B23" s="10">
        <f>SUM(Monthly!B192:B203)</f>
        <v>170</v>
      </c>
      <c r="C23" s="11">
        <f>SUM(Monthly!C192:C203)</f>
        <v>15.2691</v>
      </c>
      <c r="D23" s="11">
        <f ca="1">SUM(Monthly!D192:D203)</f>
        <v>14.714795575</v>
      </c>
      <c r="E23" s="11">
        <f ca="1">SUM(Monthly!E192:E203)</f>
        <v>9.5658087249999983</v>
      </c>
      <c r="F23" s="11">
        <f ca="1">SUM(Monthly!F192:F203)</f>
        <v>1771.7240669999999</v>
      </c>
      <c r="G23" s="28" t="s">
        <v>8</v>
      </c>
    </row>
    <row r="24" spans="1:7" ht="13.2" x14ac:dyDescent="0.25">
      <c r="A24" s="30" t="s">
        <v>9</v>
      </c>
      <c r="B24" s="18">
        <f>SUM(Monthly!B205:B216)</f>
        <v>162</v>
      </c>
      <c r="C24" s="19">
        <f>SUM(Monthly!C205:C216)</f>
        <v>55.451899999999995</v>
      </c>
      <c r="D24" s="19">
        <f ca="1">SUM(Monthly!D205:D216)</f>
        <v>56.888928194999984</v>
      </c>
      <c r="E24" s="19">
        <f ca="1">SUM(Monthly!E205:E216)</f>
        <v>35.291067104999989</v>
      </c>
      <c r="F24" s="19">
        <f ca="1">SUM(Monthly!F205:F216)</f>
        <v>5872.8183754999991</v>
      </c>
      <c r="G24" s="29" t="s">
        <v>8</v>
      </c>
    </row>
    <row r="25" spans="1:7" ht="13.2" x14ac:dyDescent="0.25">
      <c r="A25" s="30" t="s">
        <v>10</v>
      </c>
      <c r="B25" s="10">
        <f>SUM(Monthly!B218:B229)</f>
        <v>280</v>
      </c>
      <c r="C25" s="11">
        <f>SUM(Monthly!C218:C229)</f>
        <v>26.877400000000002</v>
      </c>
      <c r="D25" s="11">
        <f ca="1">SUM(Monthly!D218:D229)</f>
        <v>30.516893434999989</v>
      </c>
      <c r="E25" s="11">
        <f ca="1">SUM(Monthly!E218:E229)</f>
        <v>18.811543344999972</v>
      </c>
      <c r="F25" s="11">
        <f ca="1">SUM(Monthly!F218:F229)</f>
        <v>3278.2541739999988</v>
      </c>
      <c r="G25" s="28" t="s">
        <v>8</v>
      </c>
    </row>
    <row r="26" spans="1:7" ht="13.2" x14ac:dyDescent="0.25">
      <c r="A26" s="30" t="s">
        <v>11</v>
      </c>
      <c r="B26" s="18">
        <f>SUM(Monthly!B231:B242)</f>
        <v>250</v>
      </c>
      <c r="C26" s="19">
        <f>SUM(Monthly!C231:C242)</f>
        <v>27.510799999999996</v>
      </c>
      <c r="D26" s="19">
        <f ca="1">SUM(Monthly!D231:D242)</f>
        <v>28.72264698</v>
      </c>
      <c r="E26" s="19">
        <f ca="1">SUM(Monthly!E231:E242)</f>
        <v>18.08479002499999</v>
      </c>
      <c r="F26" s="19">
        <f ca="1">SUM(Monthly!F231:F242)</f>
        <v>3411.7002729999986</v>
      </c>
      <c r="G26" s="29" t="s">
        <v>8</v>
      </c>
    </row>
    <row r="27" spans="1:7" ht="13.2" x14ac:dyDescent="0.25">
      <c r="A27" s="30" t="s">
        <v>12</v>
      </c>
      <c r="B27" s="10">
        <f>SUM(Monthly!B244:B255)</f>
        <v>287</v>
      </c>
      <c r="C27" s="11">
        <f>SUM(Monthly!C244:C255)</f>
        <v>29.789300000000001</v>
      </c>
      <c r="D27" s="11">
        <f ca="1">SUM(Monthly!D244:D255)</f>
        <v>26.238591774999975</v>
      </c>
      <c r="E27" s="11">
        <f ca="1">SUM(Monthly!E244:E255)</f>
        <v>18.527696414999987</v>
      </c>
      <c r="F27" s="11">
        <f ca="1">SUM(Monthly!F244:F255)</f>
        <v>3295.5946367199977</v>
      </c>
      <c r="G27" s="28" t="s">
        <v>8</v>
      </c>
    </row>
    <row r="28" spans="1:7" ht="13.2" x14ac:dyDescent="0.25">
      <c r="A28" s="30" t="s">
        <v>13</v>
      </c>
      <c r="B28" s="18">
        <f>SUM(Monthly!B257:B268)</f>
        <v>323</v>
      </c>
      <c r="C28" s="19">
        <f>SUM(Monthly!C257:C268)</f>
        <v>16.331099999999999</v>
      </c>
      <c r="D28" s="19">
        <f ca="1">SUM(Monthly!D257:D268)</f>
        <v>12.880277483499977</v>
      </c>
      <c r="E28" s="19">
        <f ca="1">SUM(Monthly!E257:E268)</f>
        <v>8.8375511724999782</v>
      </c>
      <c r="F28" s="19">
        <f ca="1">SUM(Monthly!F257:F268)</f>
        <v>1746.6405455419479</v>
      </c>
      <c r="G28" s="29" t="s">
        <v>8</v>
      </c>
    </row>
    <row r="29" spans="1:7" ht="13.2" x14ac:dyDescent="0.25">
      <c r="A29" s="30" t="s">
        <v>14</v>
      </c>
      <c r="B29" s="10">
        <f>SUM(Monthly!B270:B281)</f>
        <v>620</v>
      </c>
      <c r="C29" s="11">
        <f>SUM(Monthly!C270:C281)</f>
        <v>47.028799999999997</v>
      </c>
      <c r="D29" s="11">
        <f ca="1">SUM(Monthly!D270:D281)</f>
        <v>38.079502334499892</v>
      </c>
      <c r="E29" s="11">
        <f ca="1">SUM(Monthly!E270:E281)</f>
        <v>25.944489055499979</v>
      </c>
      <c r="F29" s="11">
        <f ca="1">SUM(Monthly!F270:F281)</f>
        <v>5188.8166085638886</v>
      </c>
      <c r="G29" s="28" t="s">
        <v>8</v>
      </c>
    </row>
    <row r="30" spans="1:7" ht="13.2" x14ac:dyDescent="0.25">
      <c r="A30" s="30" t="s">
        <v>15</v>
      </c>
      <c r="B30" s="18">
        <f>SUM(Monthly!B283:B294)</f>
        <v>875</v>
      </c>
      <c r="C30" s="19">
        <f>SUM(Monthly!C283:C294)</f>
        <v>83.785499999999999</v>
      </c>
      <c r="D30" s="19">
        <f ca="1">SUM(Monthly!D283:D294)</f>
        <v>67.301384872500009</v>
      </c>
      <c r="E30" s="19">
        <f ca="1">SUM(Monthly!E283:E294)</f>
        <v>45.903609680499976</v>
      </c>
      <c r="F30" s="19">
        <f ca="1">SUM(Monthly!F283:F294)</f>
        <v>9825.5149349590465</v>
      </c>
      <c r="G30" s="29" t="s">
        <v>8</v>
      </c>
    </row>
    <row r="31" spans="1:7" ht="13.2" x14ac:dyDescent="0.25">
      <c r="A31" s="30" t="s">
        <v>16</v>
      </c>
      <c r="B31" s="10">
        <f>SUM(Monthly!B296:B307)</f>
        <v>1106</v>
      </c>
      <c r="C31" s="11">
        <f>SUM(Monthly!C296:C307)</f>
        <v>69.204889999999992</v>
      </c>
      <c r="D31" s="11">
        <f ca="1">SUM(Monthly!D296:D307)</f>
        <v>50.405826194699976</v>
      </c>
      <c r="E31" s="11">
        <f ca="1">SUM(Monthly!E296:E307)</f>
        <v>34.531428651799949</v>
      </c>
      <c r="F31" s="11">
        <f ca="1">SUM(Monthly!F296:F307)</f>
        <v>8146.6984126298685</v>
      </c>
      <c r="G31" s="28" t="s">
        <v>8</v>
      </c>
    </row>
    <row r="32" spans="1:7" ht="13.2" x14ac:dyDescent="0.25">
      <c r="A32" s="30" t="s">
        <v>17</v>
      </c>
      <c r="B32" s="18">
        <f>SUM(Monthly!B309:B320)</f>
        <v>950</v>
      </c>
      <c r="C32" s="19">
        <f>SUM(Monthly!C309:C320)</f>
        <v>56.865499999999997</v>
      </c>
      <c r="D32" s="19">
        <f ca="1">SUM(Monthly!D309:D320)</f>
        <v>38.918354889999989</v>
      </c>
      <c r="E32" s="19">
        <f ca="1">SUM(Monthly!E309:E320)</f>
        <v>32.419926329500001</v>
      </c>
      <c r="F32" s="19">
        <f ca="1">SUM(Monthly!F309:F320)</f>
        <v>5760.749492145399</v>
      </c>
      <c r="G32" s="29" t="s">
        <v>8</v>
      </c>
    </row>
    <row r="33" spans="1:11" ht="13.2" x14ac:dyDescent="0.25">
      <c r="A33" s="30" t="s">
        <v>18</v>
      </c>
      <c r="B33" s="10">
        <f>SUM(Monthly!B322:B333)</f>
        <v>768</v>
      </c>
      <c r="C33" s="11">
        <f>SUM(Monthly!C322:C333)</f>
        <v>62.066800000000008</v>
      </c>
      <c r="D33" s="11">
        <f ca="1">SUM(Monthly!D322:D333)</f>
        <v>43.560152952999886</v>
      </c>
      <c r="E33" s="11">
        <f ca="1">SUM(Monthly!E322:E333)</f>
        <v>39.007078994999986</v>
      </c>
      <c r="F33" s="11">
        <f ca="1">SUM(Monthly!F322:F333)</f>
        <v>5709.0304223322391</v>
      </c>
      <c r="G33" s="28" t="s">
        <v>8</v>
      </c>
    </row>
    <row r="34" spans="1:11" ht="13.2" x14ac:dyDescent="0.25">
      <c r="A34" s="30" t="s">
        <v>19</v>
      </c>
      <c r="B34" s="18">
        <f>SUM(Monthly!B335:B346)</f>
        <v>966</v>
      </c>
      <c r="C34" s="19">
        <f>SUM(Monthly!C335:C346)</f>
        <v>74.280600000000007</v>
      </c>
      <c r="D34" s="19">
        <f ca="1">SUM(Monthly!D335:D346)</f>
        <v>56.504004186999971</v>
      </c>
      <c r="E34" s="19">
        <f ca="1">SUM(Monthly!E335:E346)</f>
        <v>48.362447320999962</v>
      </c>
      <c r="F34" s="19">
        <f ca="1">SUM(Monthly!F335:F346)</f>
        <v>6476.3034111897477</v>
      </c>
      <c r="G34" s="29" t="s">
        <v>8</v>
      </c>
    </row>
    <row r="35" spans="1:11" ht="13.2" x14ac:dyDescent="0.25">
      <c r="A35" s="30" t="s">
        <v>20</v>
      </c>
      <c r="B35" s="10">
        <f>SUM(Monthly!B348:B359)</f>
        <v>1103</v>
      </c>
      <c r="C35" s="11">
        <f>SUM(Monthly!C348:C359)</f>
        <v>97.589600000000004</v>
      </c>
      <c r="D35" s="11">
        <f ca="1">SUM(Monthly!D348:D359)</f>
        <v>70.265102846999994</v>
      </c>
      <c r="E35" s="11">
        <f ca="1">SUM(Monthly!E348:E359)</f>
        <v>60.726404174999885</v>
      </c>
      <c r="F35" s="11">
        <f ca="1">SUM(Monthly!F348:F359)</f>
        <v>7820.3602678747884</v>
      </c>
      <c r="G35" s="28" t="s">
        <v>8</v>
      </c>
    </row>
    <row r="36" spans="1:11" ht="13.2" x14ac:dyDescent="0.25">
      <c r="A36" s="30" t="s">
        <v>21</v>
      </c>
      <c r="B36" s="18">
        <f>SUM(Monthly!B361:B372)</f>
        <v>1058</v>
      </c>
      <c r="C36" s="19">
        <f>SUM(Monthly!C361:C372)</f>
        <v>97.369699999999995</v>
      </c>
      <c r="D36" s="19">
        <f ca="1">SUM(Monthly!D361:D372)</f>
        <v>76.037822678499779</v>
      </c>
      <c r="E36" s="19">
        <f ca="1">SUM(Monthly!E361:E372)</f>
        <v>61.362721358499996</v>
      </c>
      <c r="F36" s="19">
        <f ca="1">SUM(Monthly!F361:F372)</f>
        <v>7791.7763654430782</v>
      </c>
      <c r="G36" s="29" t="s">
        <v>8</v>
      </c>
    </row>
    <row r="37" spans="1:11" ht="13.2" x14ac:dyDescent="0.25">
      <c r="A37" s="30" t="s">
        <v>22</v>
      </c>
      <c r="B37" s="10">
        <f>SUM(Monthly!B374:B385)</f>
        <v>1114</v>
      </c>
      <c r="C37" s="11">
        <f>SUM(Monthly!C374:C385)</f>
        <v>58.054919999999996</v>
      </c>
      <c r="D37" s="11">
        <f ca="1">SUM(Monthly!D374:D385)</f>
        <v>43.559036383499944</v>
      </c>
      <c r="E37" s="11">
        <f ca="1">SUM(Monthly!E374:E385)</f>
        <v>36.897632093999974</v>
      </c>
      <c r="F37" s="11">
        <f ca="1">SUM(Monthly!F374:F385)</f>
        <v>5707.7751637244473</v>
      </c>
      <c r="G37" s="28" t="s">
        <v>8</v>
      </c>
    </row>
    <row r="38" spans="1:11" ht="13.2" x14ac:dyDescent="0.25">
      <c r="A38" s="30" t="s">
        <v>23</v>
      </c>
      <c r="B38" s="18">
        <f>SUM(Monthly!B387:B398)</f>
        <v>1123</v>
      </c>
      <c r="C38" s="19">
        <f>SUM(Monthly!C387:C398)</f>
        <v>117.38669999999999</v>
      </c>
      <c r="D38" s="19">
        <f ca="1">SUM(Monthly!D387:D398)</f>
        <v>87.395107373499769</v>
      </c>
      <c r="E38" s="19">
        <f ca="1">SUM(Monthly!E387:E398)</f>
        <v>70.990666007499982</v>
      </c>
      <c r="F38" s="19">
        <f ca="1">SUM(Monthly!F387:F398)</f>
        <v>12293.446922170629</v>
      </c>
      <c r="G38" s="29" t="s">
        <v>8</v>
      </c>
    </row>
    <row r="39" spans="1:11" ht="13.2" x14ac:dyDescent="0.25">
      <c r="A39" s="30" t="s">
        <v>24</v>
      </c>
      <c r="B39" s="10">
        <f>SUM(Monthly!B400:B411)</f>
        <v>1059</v>
      </c>
      <c r="C39" s="11">
        <f>SUM(Monthly!C400:C411)</f>
        <v>166.61170000000001</v>
      </c>
      <c r="D39" s="11">
        <f ca="1">SUM(Monthly!D400:D411)</f>
        <v>146.65512846949986</v>
      </c>
      <c r="E39" s="11">
        <f ca="1">SUM(Monthly!E400:E411)</f>
        <v>109.00513439949988</v>
      </c>
      <c r="F39" s="11">
        <f ca="1">SUM(Monthly!F400:F411)</f>
        <v>19947.791445729588</v>
      </c>
      <c r="G39" s="28" t="s">
        <v>8</v>
      </c>
    </row>
    <row r="40" spans="1:11" ht="13.2" x14ac:dyDescent="0.25">
      <c r="A40" s="31" t="s">
        <v>25</v>
      </c>
      <c r="B40" s="18">
        <f>SUM(Monthly!B413:B424)</f>
        <v>1077</v>
      </c>
      <c r="C40" s="19">
        <f>SUM(Monthly!C413:C424)</f>
        <v>184.63300000000001</v>
      </c>
      <c r="D40" s="19">
        <f ca="1">SUM(Monthly!D413:D424)</f>
        <v>165.2060360195</v>
      </c>
      <c r="E40" s="19">
        <f ca="1">SUM(Monthly!E413:E424)</f>
        <v>131.30048616549988</v>
      </c>
      <c r="F40" s="19">
        <f ca="1">SUM(Monthly!F413:F424)</f>
        <v>20281.588680038585</v>
      </c>
      <c r="G40" s="29" t="s">
        <v>8</v>
      </c>
    </row>
    <row r="41" spans="1:11" ht="13.2" x14ac:dyDescent="0.25">
      <c r="A41" s="26">
        <v>2017</v>
      </c>
      <c r="B41" s="10">
        <f>SUM(Monthly!B426:B437)</f>
        <v>1103</v>
      </c>
      <c r="C41" s="11">
        <f>SUM(Monthly!C426:C437)</f>
        <v>75.654399999999995</v>
      </c>
      <c r="D41" s="11">
        <f ca="1">SUM(Monthly!D426:D437)</f>
        <v>66.631185532000003</v>
      </c>
      <c r="E41" s="11">
        <f ca="1">SUM(Monthly!E426:E437)</f>
        <v>58.614909898999969</v>
      </c>
      <c r="F41" s="11">
        <f ca="1">SUM(Monthly!F426:F437)</f>
        <v>8500.1322003550777</v>
      </c>
      <c r="G41" s="28" t="s">
        <v>8</v>
      </c>
    </row>
    <row r="42" spans="1:11" ht="13.2" x14ac:dyDescent="0.25">
      <c r="A42" s="26">
        <v>2018</v>
      </c>
      <c r="B42" s="18">
        <f>SUM(Monthly!B439:B450)</f>
        <v>984</v>
      </c>
      <c r="C42" s="19">
        <f>SUM(Monthly!C439:C450)</f>
        <v>102.81049999999999</v>
      </c>
      <c r="D42" s="19">
        <f ca="1">SUM(Monthly!D439:D450)</f>
        <v>87.137149951999888</v>
      </c>
      <c r="E42" s="19">
        <f ca="1">SUM(Monthly!E439:E450)</f>
        <v>76.97882499399995</v>
      </c>
      <c r="F42" s="19">
        <f ca="1">SUM(Monthly!F439:F450)</f>
        <v>11310.01361199999</v>
      </c>
      <c r="G42" s="29" t="s">
        <v>8</v>
      </c>
    </row>
    <row r="43" spans="1:11" ht="13.2" x14ac:dyDescent="0.25">
      <c r="A43" s="26">
        <v>2019</v>
      </c>
      <c r="B43" s="10">
        <f>SUM(Monthly!B452:B463)</f>
        <v>866</v>
      </c>
      <c r="C43" s="11">
        <f>SUM(Monthly!C452:C463)</f>
        <v>48.521599999999999</v>
      </c>
      <c r="D43" s="11">
        <f ca="1">SUM(Monthly!D452:D463)</f>
        <v>43.483128639499981</v>
      </c>
      <c r="E43" s="11">
        <f ca="1">SUM(Monthly!E452:E463)</f>
        <v>38.247406773999984</v>
      </c>
      <c r="F43" s="11">
        <f ca="1">SUM(Monthly!F452:F463)</f>
        <v>5279.5699843999873</v>
      </c>
      <c r="G43" s="28" t="s">
        <v>8</v>
      </c>
    </row>
    <row r="44" spans="1:11" ht="13.2" x14ac:dyDescent="0.25">
      <c r="A44" s="26">
        <v>2020</v>
      </c>
      <c r="B44" s="20">
        <f>SUM(Monthly!B465:B476)</f>
        <v>810</v>
      </c>
      <c r="C44" s="21">
        <f>SUM(Monthly!C465:C476)</f>
        <v>38.0732</v>
      </c>
      <c r="D44" s="21">
        <f ca="1">SUM(Monthly!D465:D476)</f>
        <v>33.053758205299985</v>
      </c>
      <c r="E44" s="21">
        <f ca="1">SUM(Monthly!E465:E476)</f>
        <v>29.623709600999991</v>
      </c>
      <c r="F44" s="21">
        <f ca="1">SUM(Monthly!F465:F476)</f>
        <v>4050.4509266999994</v>
      </c>
      <c r="G44" s="29" t="s">
        <v>8</v>
      </c>
    </row>
    <row r="45" spans="1:11" ht="13.2" x14ac:dyDescent="0.25">
      <c r="A45" s="26">
        <v>2021</v>
      </c>
      <c r="B45" s="12">
        <f>SUM(Monthly!B478:B489)</f>
        <v>847</v>
      </c>
      <c r="C45" s="13">
        <f>SUM(Monthly!C478:C489)</f>
        <v>61.25</v>
      </c>
      <c r="D45" s="13">
        <f ca="1">SUM(Monthly!D478:D489)</f>
        <v>52.196538771599997</v>
      </c>
      <c r="E45" s="13">
        <f ca="1">SUM(Monthly!E478:E489)</f>
        <v>44.585904805999988</v>
      </c>
      <c r="F45" s="13">
        <f ca="1">SUM(Monthly!F478:F489)</f>
        <v>6807.9682662499881</v>
      </c>
      <c r="G45" s="28" t="s">
        <v>8</v>
      </c>
    </row>
    <row r="46" spans="1:11" ht="13.2" x14ac:dyDescent="0.25">
      <c r="A46" s="26">
        <v>2022</v>
      </c>
      <c r="B46" s="20">
        <f>SUM(Monthly!B491:B502)</f>
        <v>692</v>
      </c>
      <c r="C46" s="21">
        <f>SUM(Monthly!C491:C502)</f>
        <v>44.415199999999999</v>
      </c>
      <c r="D46" s="21">
        <f ca="1">SUM(Monthly!D491:D502)</f>
        <v>42.171461369999967</v>
      </c>
      <c r="E46" s="21">
        <f ca="1">SUM(Monthly!E491:E502)</f>
        <v>36.173209472999972</v>
      </c>
      <c r="F46" s="21">
        <f ca="1">SUM(Monthly!F491:F502)</f>
        <v>5885.5252961999959</v>
      </c>
      <c r="G46" s="29" t="s">
        <v>8</v>
      </c>
    </row>
    <row r="47" spans="1:11" ht="13.2" x14ac:dyDescent="0.25">
      <c r="A47" s="26">
        <v>2023</v>
      </c>
      <c r="B47" s="14">
        <f>SUM(Monthly!B504:B515)</f>
        <v>506</v>
      </c>
      <c r="C47" s="15">
        <f>SUM(Monthly!C504:C515)</f>
        <v>50.761000000000003</v>
      </c>
      <c r="D47" s="15">
        <f ca="1">SUM(Monthly!D504:D515)</f>
        <v>49.659672295999997</v>
      </c>
      <c r="E47" s="15">
        <f ca="1">SUM(Monthly!E504:E515)</f>
        <v>43.031852313649871</v>
      </c>
      <c r="F47" s="15">
        <f ca="1">SUM(Monthly!F504:F515)</f>
        <v>7568.6560909699874</v>
      </c>
      <c r="G47" s="28" t="s">
        <v>8</v>
      </c>
      <c r="I47" s="35" t="s">
        <v>26</v>
      </c>
      <c r="J47" s="36" t="s">
        <v>1</v>
      </c>
      <c r="K47" s="37" t="s">
        <v>27</v>
      </c>
    </row>
    <row r="48" spans="1:11" ht="13.2" x14ac:dyDescent="0.25">
      <c r="A48" s="26" t="s">
        <v>29</v>
      </c>
      <c r="B48" s="22">
        <f>SUM(Monthly!B517:B519)</f>
        <v>119</v>
      </c>
      <c r="C48" s="23">
        <f>SUM(Monthly!C517:C519)</f>
        <v>2.7849999999999997</v>
      </c>
      <c r="D48" s="23">
        <f ca="1">SUM(Monthly!D517:D519)</f>
        <v>2.5711770669999883</v>
      </c>
      <c r="E48" s="23">
        <f ca="1">SUM(Monthly!E517:E519)</f>
        <v>2.1994865729999988</v>
      </c>
      <c r="F48" s="23">
        <f ca="1">SUM(Monthly!F517:F519)</f>
        <v>415.56590463334982</v>
      </c>
      <c r="G48" s="32" t="s">
        <v>8</v>
      </c>
      <c r="I48" s="38"/>
      <c r="J48" s="39">
        <f>SUM(B9:B48)</f>
        <v>19521</v>
      </c>
      <c r="K48" s="40">
        <f>SUM(C9:C48)</f>
        <v>1741.4291700000001</v>
      </c>
    </row>
    <row r="49" spans="1:11" ht="13.2" x14ac:dyDescent="0.25">
      <c r="A49" s="33" t="s">
        <v>31</v>
      </c>
      <c r="B49" s="14">
        <f t="shared" ref="B49:F49" si="0">B48/3*12</f>
        <v>476</v>
      </c>
      <c r="C49" s="15">
        <f t="shared" si="0"/>
        <v>11.139999999999999</v>
      </c>
      <c r="D49" s="15">
        <f t="shared" ca="1" si="0"/>
        <v>10.284708267999953</v>
      </c>
      <c r="E49" s="15">
        <f t="shared" ca="1" si="0"/>
        <v>8.7979462919999953</v>
      </c>
      <c r="F49" s="15">
        <f t="shared" ca="1" si="0"/>
        <v>1662.2636185333995</v>
      </c>
      <c r="G49" s="34"/>
      <c r="I49" s="2"/>
      <c r="J49" s="2"/>
      <c r="K49" s="2"/>
    </row>
    <row r="50" spans="1:11" ht="13.2" x14ac:dyDescent="0.25">
      <c r="C50" s="5"/>
      <c r="D50" s="5"/>
      <c r="E50" s="5"/>
      <c r="F50" s="5"/>
      <c r="I50" s="43" t="s">
        <v>28</v>
      </c>
      <c r="J50" s="41">
        <f>SUM(Monthly!B478:B489)</f>
        <v>847</v>
      </c>
      <c r="K50" s="15">
        <f>SUM(Monthly!C478:C489)</f>
        <v>61.25</v>
      </c>
    </row>
    <row r="51" spans="1:11" ht="13.2" x14ac:dyDescent="0.25">
      <c r="D51" s="5"/>
      <c r="E51" s="5"/>
      <c r="F51" s="5"/>
      <c r="I51" s="44" t="s">
        <v>30</v>
      </c>
      <c r="J51" s="42">
        <f>SUM(Monthly!B491:B502)</f>
        <v>692</v>
      </c>
      <c r="K51" s="23">
        <f>SUM(Monthly!C491:C502)</f>
        <v>44.415199999999999</v>
      </c>
    </row>
    <row r="52" spans="1:11" ht="13.2" x14ac:dyDescent="0.25">
      <c r="C52" s="5"/>
      <c r="D52" s="5"/>
      <c r="E52" s="5"/>
      <c r="F52" s="5"/>
      <c r="I52" s="45" t="s">
        <v>32</v>
      </c>
      <c r="J52" s="41">
        <f>SUM(Monthly!B504:B515)</f>
        <v>506</v>
      </c>
      <c r="K52" s="15">
        <f>SUM(Monthly!C504:C515)</f>
        <v>50.761000000000003</v>
      </c>
    </row>
    <row r="53" spans="1:11" ht="13.2" x14ac:dyDescent="0.25">
      <c r="C53" s="5"/>
      <c r="D53" s="5"/>
      <c r="E53" s="5"/>
      <c r="F53" s="5"/>
      <c r="I53" s="2"/>
      <c r="J53" s="2"/>
      <c r="K53" s="2"/>
    </row>
    <row r="54" spans="1:11" ht="13.2" x14ac:dyDescent="0.25">
      <c r="C54" s="5"/>
      <c r="D54" s="5"/>
      <c r="E54" s="5"/>
      <c r="F54" s="5"/>
      <c r="I54" s="2"/>
      <c r="J54" s="2"/>
      <c r="K54" s="2"/>
    </row>
    <row r="55" spans="1:11" ht="13.2" x14ac:dyDescent="0.25">
      <c r="C55" s="5"/>
      <c r="D55" s="5"/>
      <c r="E55" s="5"/>
      <c r="F55" s="5"/>
      <c r="I55" s="2"/>
      <c r="J55" s="2"/>
      <c r="K55" s="2"/>
    </row>
    <row r="56" spans="1:11" ht="13.2" x14ac:dyDescent="0.25">
      <c r="D56" s="5"/>
      <c r="E56" s="5"/>
      <c r="F56" s="5"/>
      <c r="I56" s="125" t="s">
        <v>33</v>
      </c>
      <c r="J56" s="126"/>
      <c r="K56" s="127"/>
    </row>
    <row r="57" spans="1:11" ht="13.2" x14ac:dyDescent="0.25">
      <c r="C57" s="5"/>
      <c r="D57" s="5"/>
      <c r="E57" s="5"/>
      <c r="F57" s="5"/>
      <c r="I57" s="48" t="s">
        <v>34</v>
      </c>
      <c r="J57" s="47">
        <f t="shared" ref="J57:K57" si="1">((J52-J51)/J51)*100</f>
        <v>-26.878612716763005</v>
      </c>
      <c r="K57" s="49">
        <f t="shared" si="1"/>
        <v>14.287451142852007</v>
      </c>
    </row>
    <row r="58" spans="1:11" ht="13.2" x14ac:dyDescent="0.25">
      <c r="C58" s="5"/>
      <c r="D58" s="5"/>
      <c r="E58" s="5"/>
      <c r="F58" s="5"/>
      <c r="I58" s="50" t="s">
        <v>35</v>
      </c>
      <c r="J58" s="51">
        <f t="shared" ref="J58:K58" si="2">((J51-J50)/J50)*100</f>
        <v>-18.299881936245573</v>
      </c>
      <c r="K58" s="52">
        <f t="shared" si="2"/>
        <v>-27.485387755102042</v>
      </c>
    </row>
    <row r="59" spans="1:11" ht="13.2" x14ac:dyDescent="0.25">
      <c r="C59" s="5"/>
      <c r="D59" s="5"/>
      <c r="E59" s="5"/>
      <c r="F59" s="5"/>
      <c r="I59" s="46"/>
      <c r="J59" s="46"/>
      <c r="K59" s="46"/>
    </row>
    <row r="60" spans="1:11" ht="13.2" x14ac:dyDescent="0.25">
      <c r="C60" s="5"/>
      <c r="D60" s="5"/>
      <c r="E60" s="5"/>
      <c r="F60" s="5"/>
      <c r="I60" s="46"/>
      <c r="J60" s="46"/>
      <c r="K60" s="46"/>
    </row>
    <row r="61" spans="1:11" ht="13.2" x14ac:dyDescent="0.25">
      <c r="C61" s="5"/>
      <c r="D61" s="5"/>
      <c r="E61" s="5"/>
      <c r="F61" s="5"/>
      <c r="I61" s="53" t="s">
        <v>36</v>
      </c>
      <c r="J61" s="54">
        <f>SUM(Monthly!B504:B506)</f>
        <v>141</v>
      </c>
      <c r="K61" s="55">
        <f>SUM(Monthly!C504:C506)</f>
        <v>4.9627999999999997</v>
      </c>
    </row>
    <row r="62" spans="1:11" ht="13.2" x14ac:dyDescent="0.25">
      <c r="C62" s="5"/>
      <c r="D62" s="5"/>
      <c r="E62" s="5"/>
      <c r="F62" s="5"/>
      <c r="I62" s="50" t="s">
        <v>37</v>
      </c>
      <c r="J62" s="56">
        <f>SUM(Monthly!B517:B519)</f>
        <v>119</v>
      </c>
      <c r="K62" s="57">
        <f>SUM(Monthly!C517:C519)</f>
        <v>2.7849999999999997</v>
      </c>
    </row>
    <row r="63" spans="1:11" ht="13.2" x14ac:dyDescent="0.25">
      <c r="C63" s="5"/>
      <c r="D63" s="5"/>
      <c r="E63" s="5"/>
      <c r="F63" s="5"/>
      <c r="I63" s="46"/>
      <c r="J63" s="46"/>
      <c r="K63" s="46"/>
    </row>
    <row r="64" spans="1:11" ht="13.2" x14ac:dyDescent="0.25">
      <c r="C64" s="5"/>
      <c r="D64" s="5"/>
      <c r="E64" s="5"/>
      <c r="F64" s="5"/>
      <c r="I64" s="125" t="s">
        <v>33</v>
      </c>
      <c r="J64" s="126"/>
      <c r="K64" s="127"/>
    </row>
    <row r="65" spans="3:11" ht="13.2" x14ac:dyDescent="0.25">
      <c r="C65" s="5"/>
      <c r="D65" s="5"/>
      <c r="E65" s="5"/>
      <c r="F65" s="5"/>
      <c r="I65" s="123" t="s">
        <v>38</v>
      </c>
      <c r="J65" s="124">
        <f t="shared" ref="J65:K65" si="3">((J62-J61)/J61)*100</f>
        <v>-15.602836879432624</v>
      </c>
      <c r="K65" s="124">
        <f t="shared" si="3"/>
        <v>-43.882485693560092</v>
      </c>
    </row>
    <row r="66" spans="3:11" ht="13.2" x14ac:dyDescent="0.25">
      <c r="C66" s="5"/>
      <c r="D66" s="5"/>
      <c r="E66" s="5"/>
      <c r="F66" s="5"/>
    </row>
    <row r="67" spans="3:11" ht="13.2" x14ac:dyDescent="0.25">
      <c r="C67" s="5"/>
      <c r="D67" s="5"/>
      <c r="E67" s="5"/>
      <c r="F67" s="5"/>
    </row>
    <row r="68" spans="3:11" ht="13.2" x14ac:dyDescent="0.25">
      <c r="C68" s="5"/>
      <c r="D68" s="5"/>
      <c r="E68" s="5"/>
      <c r="F68" s="5"/>
    </row>
    <row r="69" spans="3:11" ht="13.2" x14ac:dyDescent="0.25">
      <c r="C69" s="5"/>
      <c r="D69" s="5"/>
      <c r="E69" s="5"/>
      <c r="F69" s="5"/>
    </row>
    <row r="70" spans="3:11" ht="13.2" x14ac:dyDescent="0.25">
      <c r="C70" s="5"/>
      <c r="D70" s="5"/>
      <c r="E70" s="5"/>
      <c r="F70" s="5"/>
    </row>
    <row r="71" spans="3:11" ht="13.2" x14ac:dyDescent="0.25">
      <c r="C71" s="5"/>
      <c r="D71" s="5"/>
      <c r="E71" s="5"/>
      <c r="F71" s="5"/>
    </row>
    <row r="72" spans="3:11" ht="13.2" x14ac:dyDescent="0.25">
      <c r="C72" s="5"/>
      <c r="D72" s="5"/>
      <c r="E72" s="5"/>
      <c r="F72" s="5"/>
    </row>
    <row r="73" spans="3:11" ht="13.2" x14ac:dyDescent="0.25">
      <c r="C73" s="5"/>
      <c r="D73" s="5"/>
      <c r="E73" s="5"/>
      <c r="F73" s="5"/>
    </row>
    <row r="74" spans="3:11" ht="13.2" x14ac:dyDescent="0.25">
      <c r="C74" s="5"/>
      <c r="D74" s="5"/>
      <c r="E74" s="5"/>
      <c r="F74" s="5"/>
    </row>
    <row r="75" spans="3:11" ht="13.2" x14ac:dyDescent="0.25">
      <c r="C75" s="5"/>
      <c r="D75" s="5"/>
      <c r="E75" s="5"/>
      <c r="F75" s="5"/>
    </row>
    <row r="76" spans="3:11" ht="13.2" x14ac:dyDescent="0.25">
      <c r="C76" s="5"/>
      <c r="D76" s="5"/>
      <c r="E76" s="5"/>
      <c r="F76" s="5"/>
    </row>
    <row r="77" spans="3:11" ht="13.2" x14ac:dyDescent="0.25">
      <c r="C77" s="5"/>
      <c r="D77" s="5"/>
      <c r="E77" s="5"/>
      <c r="F77" s="5"/>
    </row>
    <row r="78" spans="3:11" ht="13.2" x14ac:dyDescent="0.25">
      <c r="C78" s="5"/>
      <c r="D78" s="5"/>
      <c r="E78" s="5"/>
      <c r="F78" s="5"/>
    </row>
    <row r="79" spans="3:11" ht="13.2" x14ac:dyDescent="0.25">
      <c r="C79" s="5"/>
      <c r="D79" s="5"/>
      <c r="E79" s="5"/>
      <c r="F79" s="5"/>
    </row>
    <row r="80" spans="3:11" ht="13.2" x14ac:dyDescent="0.25">
      <c r="C80" s="5"/>
      <c r="D80" s="5"/>
      <c r="E80" s="5"/>
      <c r="F80" s="5"/>
    </row>
    <row r="81" spans="3:6" ht="13.2" x14ac:dyDescent="0.25">
      <c r="C81" s="5"/>
      <c r="D81" s="5"/>
      <c r="E81" s="5"/>
      <c r="F81" s="5"/>
    </row>
    <row r="82" spans="3:6" ht="13.2" x14ac:dyDescent="0.25">
      <c r="C82" s="5"/>
      <c r="D82" s="5"/>
      <c r="E82" s="5"/>
      <c r="F82" s="5"/>
    </row>
    <row r="83" spans="3:6" ht="13.2" x14ac:dyDescent="0.25">
      <c r="C83" s="5"/>
      <c r="D83" s="5"/>
      <c r="E83" s="5"/>
      <c r="F83" s="5"/>
    </row>
    <row r="84" spans="3:6" ht="13.2" x14ac:dyDescent="0.25">
      <c r="C84" s="5"/>
      <c r="D84" s="5"/>
      <c r="E84" s="5"/>
      <c r="F84" s="5"/>
    </row>
    <row r="85" spans="3:6" ht="13.2" x14ac:dyDescent="0.25">
      <c r="C85" s="5"/>
      <c r="D85" s="5"/>
      <c r="E85" s="5"/>
      <c r="F85" s="5"/>
    </row>
    <row r="86" spans="3:6" ht="13.2" x14ac:dyDescent="0.25">
      <c r="C86" s="5"/>
      <c r="D86" s="5"/>
      <c r="E86" s="5"/>
      <c r="F86" s="5"/>
    </row>
    <row r="87" spans="3:6" ht="13.2" x14ac:dyDescent="0.25">
      <c r="C87" s="5"/>
      <c r="D87" s="5"/>
      <c r="E87" s="5"/>
      <c r="F87" s="5"/>
    </row>
    <row r="88" spans="3:6" ht="13.2" x14ac:dyDescent="0.25">
      <c r="C88" s="5"/>
      <c r="D88" s="5"/>
      <c r="E88" s="5"/>
      <c r="F88" s="5"/>
    </row>
    <row r="89" spans="3:6" ht="13.2" x14ac:dyDescent="0.25">
      <c r="C89" s="5"/>
      <c r="D89" s="5"/>
      <c r="E89" s="5"/>
      <c r="F89" s="5"/>
    </row>
    <row r="90" spans="3:6" ht="13.2" x14ac:dyDescent="0.25">
      <c r="C90" s="5"/>
      <c r="D90" s="5"/>
      <c r="E90" s="5"/>
      <c r="F90" s="5"/>
    </row>
    <row r="91" spans="3:6" ht="13.2" x14ac:dyDescent="0.25">
      <c r="C91" s="5"/>
      <c r="D91" s="5"/>
      <c r="E91" s="5"/>
      <c r="F91" s="5"/>
    </row>
    <row r="92" spans="3:6" ht="13.2" x14ac:dyDescent="0.25">
      <c r="C92" s="5"/>
      <c r="D92" s="5"/>
      <c r="E92" s="5"/>
      <c r="F92" s="5"/>
    </row>
    <row r="93" spans="3:6" ht="13.2" x14ac:dyDescent="0.25">
      <c r="C93" s="5"/>
      <c r="D93" s="5"/>
      <c r="E93" s="5"/>
      <c r="F93" s="5"/>
    </row>
    <row r="94" spans="3:6" ht="13.2" x14ac:dyDescent="0.25">
      <c r="C94" s="5"/>
      <c r="D94" s="5"/>
      <c r="E94" s="5"/>
      <c r="F94" s="5"/>
    </row>
    <row r="95" spans="3:6" ht="13.2" x14ac:dyDescent="0.25">
      <c r="C95" s="5"/>
      <c r="D95" s="5"/>
      <c r="E95" s="5"/>
      <c r="F95" s="5"/>
    </row>
    <row r="96" spans="3:6" ht="13.2" x14ac:dyDescent="0.25">
      <c r="C96" s="5"/>
      <c r="D96" s="5"/>
      <c r="E96" s="5"/>
      <c r="F96" s="5"/>
    </row>
    <row r="97" spans="3:6" ht="13.2" x14ac:dyDescent="0.25">
      <c r="C97" s="5"/>
      <c r="D97" s="5"/>
      <c r="E97" s="5"/>
      <c r="F97" s="5"/>
    </row>
    <row r="98" spans="3:6" ht="13.2" x14ac:dyDescent="0.25">
      <c r="C98" s="5"/>
      <c r="D98" s="5"/>
      <c r="E98" s="5"/>
      <c r="F98" s="5"/>
    </row>
    <row r="99" spans="3:6" ht="13.2" x14ac:dyDescent="0.25">
      <c r="C99" s="5"/>
      <c r="D99" s="5"/>
      <c r="E99" s="5"/>
      <c r="F99" s="5"/>
    </row>
    <row r="100" spans="3:6" ht="13.2" x14ac:dyDescent="0.25">
      <c r="C100" s="5"/>
      <c r="D100" s="5"/>
      <c r="E100" s="5"/>
      <c r="F100" s="5"/>
    </row>
    <row r="101" spans="3:6" ht="13.2" x14ac:dyDescent="0.25">
      <c r="C101" s="5"/>
      <c r="D101" s="5"/>
      <c r="E101" s="5"/>
      <c r="F101" s="5"/>
    </row>
    <row r="102" spans="3:6" ht="13.2" x14ac:dyDescent="0.25">
      <c r="C102" s="5"/>
      <c r="D102" s="5"/>
      <c r="E102" s="5"/>
      <c r="F102" s="5"/>
    </row>
    <row r="103" spans="3:6" ht="13.2" x14ac:dyDescent="0.25">
      <c r="C103" s="5"/>
      <c r="D103" s="5"/>
      <c r="E103" s="5"/>
      <c r="F103" s="5"/>
    </row>
    <row r="104" spans="3:6" ht="13.2" x14ac:dyDescent="0.25">
      <c r="C104" s="5"/>
      <c r="D104" s="5"/>
      <c r="E104" s="5"/>
      <c r="F104" s="5"/>
    </row>
    <row r="105" spans="3:6" ht="13.2" x14ac:dyDescent="0.25">
      <c r="C105" s="5"/>
      <c r="D105" s="5"/>
      <c r="E105" s="5"/>
      <c r="F105" s="5"/>
    </row>
    <row r="106" spans="3:6" ht="13.2" x14ac:dyDescent="0.25">
      <c r="C106" s="5"/>
      <c r="D106" s="5"/>
      <c r="E106" s="5"/>
      <c r="F106" s="5"/>
    </row>
    <row r="107" spans="3:6" ht="13.2" x14ac:dyDescent="0.25">
      <c r="C107" s="5"/>
      <c r="D107" s="5"/>
      <c r="E107" s="5"/>
      <c r="F107" s="5"/>
    </row>
    <row r="108" spans="3:6" ht="13.2" x14ac:dyDescent="0.25">
      <c r="C108" s="5"/>
      <c r="D108" s="5"/>
      <c r="E108" s="5"/>
      <c r="F108" s="5"/>
    </row>
    <row r="109" spans="3:6" ht="13.2" x14ac:dyDescent="0.25">
      <c r="C109" s="5"/>
      <c r="D109" s="5"/>
      <c r="E109" s="5"/>
      <c r="F109" s="5"/>
    </row>
    <row r="110" spans="3:6" ht="13.2" x14ac:dyDescent="0.25">
      <c r="C110" s="5"/>
      <c r="D110" s="5"/>
      <c r="E110" s="5"/>
      <c r="F110" s="5"/>
    </row>
    <row r="111" spans="3:6" ht="13.2" x14ac:dyDescent="0.25">
      <c r="C111" s="5"/>
      <c r="D111" s="5"/>
      <c r="E111" s="5"/>
      <c r="F111" s="5"/>
    </row>
    <row r="112" spans="3:6" ht="13.2" x14ac:dyDescent="0.25">
      <c r="C112" s="5"/>
      <c r="D112" s="5"/>
      <c r="E112" s="5"/>
      <c r="F112" s="5"/>
    </row>
    <row r="113" spans="3:6" ht="13.2" x14ac:dyDescent="0.25">
      <c r="C113" s="5"/>
      <c r="D113" s="5"/>
      <c r="E113" s="5"/>
      <c r="F113" s="5"/>
    </row>
    <row r="114" spans="3:6" ht="13.2" x14ac:dyDescent="0.25">
      <c r="C114" s="5"/>
      <c r="D114" s="5"/>
      <c r="E114" s="5"/>
      <c r="F114" s="5"/>
    </row>
    <row r="115" spans="3:6" ht="13.2" x14ac:dyDescent="0.25">
      <c r="C115" s="5"/>
      <c r="D115" s="5"/>
      <c r="E115" s="5"/>
      <c r="F115" s="5"/>
    </row>
    <row r="116" spans="3:6" ht="13.2" x14ac:dyDescent="0.25">
      <c r="C116" s="5"/>
      <c r="D116" s="5"/>
      <c r="E116" s="5"/>
      <c r="F116" s="5"/>
    </row>
    <row r="117" spans="3:6" ht="13.2" x14ac:dyDescent="0.25">
      <c r="C117" s="5"/>
      <c r="D117" s="5"/>
      <c r="E117" s="5"/>
      <c r="F117" s="5"/>
    </row>
    <row r="118" spans="3:6" ht="13.2" x14ac:dyDescent="0.25">
      <c r="C118" s="5"/>
      <c r="D118" s="5"/>
      <c r="E118" s="5"/>
      <c r="F118" s="5"/>
    </row>
    <row r="119" spans="3:6" ht="13.2" x14ac:dyDescent="0.25">
      <c r="C119" s="5"/>
      <c r="D119" s="5"/>
      <c r="E119" s="5"/>
      <c r="F119" s="5"/>
    </row>
    <row r="120" spans="3:6" ht="13.2" x14ac:dyDescent="0.25">
      <c r="C120" s="5"/>
      <c r="D120" s="5"/>
      <c r="E120" s="5"/>
      <c r="F120" s="5"/>
    </row>
    <row r="121" spans="3:6" ht="13.2" x14ac:dyDescent="0.25">
      <c r="C121" s="5"/>
      <c r="D121" s="5"/>
      <c r="E121" s="5"/>
      <c r="F121" s="5"/>
    </row>
    <row r="122" spans="3:6" ht="13.2" x14ac:dyDescent="0.25">
      <c r="C122" s="5"/>
      <c r="D122" s="5"/>
      <c r="E122" s="5"/>
      <c r="F122" s="5"/>
    </row>
    <row r="123" spans="3:6" ht="13.2" x14ac:dyDescent="0.25">
      <c r="C123" s="5"/>
      <c r="D123" s="5"/>
      <c r="E123" s="5"/>
      <c r="F123" s="5"/>
    </row>
    <row r="124" spans="3:6" ht="13.2" x14ac:dyDescent="0.25">
      <c r="C124" s="5"/>
      <c r="D124" s="5"/>
      <c r="E124" s="5"/>
      <c r="F124" s="5"/>
    </row>
    <row r="125" spans="3:6" ht="13.2" x14ac:dyDescent="0.25">
      <c r="C125" s="5"/>
      <c r="D125" s="5"/>
      <c r="E125" s="5"/>
      <c r="F125" s="5"/>
    </row>
    <row r="126" spans="3:6" ht="13.2" x14ac:dyDescent="0.25">
      <c r="C126" s="5"/>
      <c r="D126" s="5"/>
      <c r="E126" s="5"/>
      <c r="F126" s="5"/>
    </row>
    <row r="127" spans="3:6" ht="13.2" x14ac:dyDescent="0.25">
      <c r="C127" s="5"/>
      <c r="D127" s="5"/>
      <c r="E127" s="5"/>
      <c r="F127" s="5"/>
    </row>
    <row r="128" spans="3:6" ht="13.2" x14ac:dyDescent="0.25">
      <c r="C128" s="5"/>
      <c r="D128" s="5"/>
      <c r="E128" s="5"/>
      <c r="F128" s="5"/>
    </row>
    <row r="129" spans="3:6" ht="13.2" x14ac:dyDescent="0.25">
      <c r="C129" s="5"/>
      <c r="D129" s="5"/>
      <c r="E129" s="5"/>
      <c r="F129" s="5"/>
    </row>
    <row r="130" spans="3:6" ht="13.2" x14ac:dyDescent="0.25">
      <c r="C130" s="5"/>
      <c r="D130" s="5"/>
      <c r="E130" s="5"/>
      <c r="F130" s="5"/>
    </row>
    <row r="131" spans="3:6" ht="13.2" x14ac:dyDescent="0.25">
      <c r="C131" s="5"/>
      <c r="D131" s="5"/>
      <c r="E131" s="5"/>
      <c r="F131" s="5"/>
    </row>
    <row r="132" spans="3:6" ht="13.2" x14ac:dyDescent="0.25">
      <c r="C132" s="5"/>
      <c r="D132" s="5"/>
      <c r="E132" s="5"/>
      <c r="F132" s="5"/>
    </row>
    <row r="133" spans="3:6" ht="13.2" x14ac:dyDescent="0.25">
      <c r="C133" s="5"/>
      <c r="D133" s="5"/>
      <c r="E133" s="5"/>
      <c r="F133" s="5"/>
    </row>
    <row r="134" spans="3:6" ht="13.2" x14ac:dyDescent="0.25">
      <c r="C134" s="5"/>
      <c r="D134" s="5"/>
      <c r="E134" s="5"/>
      <c r="F134" s="5"/>
    </row>
    <row r="135" spans="3:6" ht="13.2" x14ac:dyDescent="0.25">
      <c r="C135" s="5"/>
      <c r="D135" s="5"/>
      <c r="E135" s="5"/>
      <c r="F135" s="5"/>
    </row>
    <row r="136" spans="3:6" ht="13.2" x14ac:dyDescent="0.25">
      <c r="C136" s="5"/>
      <c r="D136" s="5"/>
      <c r="E136" s="5"/>
      <c r="F136" s="5"/>
    </row>
    <row r="137" spans="3:6" ht="13.2" x14ac:dyDescent="0.25">
      <c r="C137" s="5"/>
      <c r="D137" s="5"/>
      <c r="E137" s="5"/>
      <c r="F137" s="5"/>
    </row>
    <row r="138" spans="3:6" ht="13.2" x14ac:dyDescent="0.25">
      <c r="C138" s="5"/>
      <c r="D138" s="5"/>
      <c r="E138" s="5"/>
      <c r="F138" s="5"/>
    </row>
    <row r="139" spans="3:6" ht="13.2" x14ac:dyDescent="0.25">
      <c r="C139" s="5"/>
      <c r="D139" s="5"/>
      <c r="E139" s="5"/>
      <c r="F139" s="5"/>
    </row>
    <row r="140" spans="3:6" ht="13.2" x14ac:dyDescent="0.25">
      <c r="C140" s="5"/>
      <c r="D140" s="5"/>
      <c r="E140" s="5"/>
      <c r="F140" s="5"/>
    </row>
    <row r="141" spans="3:6" ht="13.2" x14ac:dyDescent="0.25">
      <c r="C141" s="5"/>
      <c r="D141" s="5"/>
      <c r="E141" s="5"/>
      <c r="F141" s="5"/>
    </row>
    <row r="142" spans="3:6" ht="13.2" x14ac:dyDescent="0.25">
      <c r="C142" s="5"/>
      <c r="D142" s="5"/>
      <c r="E142" s="5"/>
      <c r="F142" s="5"/>
    </row>
    <row r="143" spans="3:6" ht="13.2" x14ac:dyDescent="0.25">
      <c r="C143" s="5"/>
      <c r="D143" s="5"/>
      <c r="E143" s="5"/>
      <c r="F143" s="5"/>
    </row>
    <row r="144" spans="3:6" ht="13.2" x14ac:dyDescent="0.25">
      <c r="C144" s="5"/>
      <c r="D144" s="5"/>
      <c r="E144" s="5"/>
      <c r="F144" s="5"/>
    </row>
    <row r="145" spans="3:6" ht="13.2" x14ac:dyDescent="0.25">
      <c r="C145" s="5"/>
      <c r="D145" s="5"/>
      <c r="E145" s="5"/>
      <c r="F145" s="5"/>
    </row>
    <row r="146" spans="3:6" ht="13.2" x14ac:dyDescent="0.25">
      <c r="C146" s="5"/>
      <c r="D146" s="5"/>
      <c r="E146" s="5"/>
      <c r="F146" s="5"/>
    </row>
    <row r="147" spans="3:6" ht="13.2" x14ac:dyDescent="0.25">
      <c r="C147" s="5"/>
      <c r="D147" s="5"/>
      <c r="E147" s="5"/>
      <c r="F147" s="5"/>
    </row>
    <row r="148" spans="3:6" ht="13.2" x14ac:dyDescent="0.25">
      <c r="C148" s="5"/>
      <c r="D148" s="5"/>
      <c r="E148" s="5"/>
      <c r="F148" s="5"/>
    </row>
    <row r="149" spans="3:6" ht="13.2" x14ac:dyDescent="0.25">
      <c r="C149" s="5"/>
      <c r="D149" s="5"/>
      <c r="E149" s="5"/>
      <c r="F149" s="5"/>
    </row>
    <row r="150" spans="3:6" ht="13.2" x14ac:dyDescent="0.25">
      <c r="C150" s="5"/>
      <c r="D150" s="5"/>
      <c r="E150" s="5"/>
      <c r="F150" s="5"/>
    </row>
    <row r="151" spans="3:6" ht="13.2" x14ac:dyDescent="0.25">
      <c r="C151" s="5"/>
      <c r="D151" s="5"/>
      <c r="E151" s="5"/>
      <c r="F151" s="5"/>
    </row>
    <row r="152" spans="3:6" ht="13.2" x14ac:dyDescent="0.25">
      <c r="C152" s="5"/>
      <c r="D152" s="5"/>
      <c r="E152" s="5"/>
      <c r="F152" s="5"/>
    </row>
    <row r="153" spans="3:6" ht="13.2" x14ac:dyDescent="0.25">
      <c r="C153" s="5"/>
      <c r="D153" s="5"/>
      <c r="E153" s="5"/>
      <c r="F153" s="5"/>
    </row>
    <row r="154" spans="3:6" ht="13.2" x14ac:dyDescent="0.25">
      <c r="C154" s="5"/>
      <c r="D154" s="5"/>
      <c r="E154" s="5"/>
      <c r="F154" s="5"/>
    </row>
    <row r="155" spans="3:6" ht="13.2" x14ac:dyDescent="0.25">
      <c r="C155" s="5"/>
      <c r="D155" s="5"/>
      <c r="E155" s="5"/>
      <c r="F155" s="5"/>
    </row>
    <row r="156" spans="3:6" ht="13.2" x14ac:dyDescent="0.25">
      <c r="C156" s="5"/>
      <c r="D156" s="5"/>
      <c r="E156" s="5"/>
      <c r="F156" s="5"/>
    </row>
    <row r="157" spans="3:6" ht="13.2" x14ac:dyDescent="0.25">
      <c r="C157" s="5"/>
      <c r="D157" s="5"/>
      <c r="E157" s="5"/>
      <c r="F157" s="5"/>
    </row>
    <row r="158" spans="3:6" ht="13.2" x14ac:dyDescent="0.25">
      <c r="C158" s="5"/>
      <c r="D158" s="5"/>
      <c r="E158" s="5"/>
      <c r="F158" s="5"/>
    </row>
    <row r="159" spans="3:6" ht="13.2" x14ac:dyDescent="0.25">
      <c r="C159" s="5"/>
      <c r="D159" s="5"/>
      <c r="E159" s="5"/>
      <c r="F159" s="5"/>
    </row>
    <row r="160" spans="3:6" ht="13.2" x14ac:dyDescent="0.25">
      <c r="C160" s="5"/>
      <c r="D160" s="5"/>
      <c r="E160" s="5"/>
      <c r="F160" s="5"/>
    </row>
    <row r="161" spans="3:6" ht="13.2" x14ac:dyDescent="0.25">
      <c r="C161" s="5"/>
      <c r="D161" s="5"/>
      <c r="E161" s="5"/>
      <c r="F161" s="5"/>
    </row>
    <row r="162" spans="3:6" ht="13.2" x14ac:dyDescent="0.25">
      <c r="C162" s="5"/>
      <c r="D162" s="5"/>
      <c r="E162" s="5"/>
      <c r="F162" s="5"/>
    </row>
    <row r="163" spans="3:6" ht="13.2" x14ac:dyDescent="0.25">
      <c r="C163" s="5"/>
      <c r="D163" s="5"/>
      <c r="E163" s="5"/>
      <c r="F163" s="5"/>
    </row>
    <row r="164" spans="3:6" ht="13.2" x14ac:dyDescent="0.25">
      <c r="C164" s="5"/>
      <c r="D164" s="5"/>
      <c r="E164" s="5"/>
      <c r="F164" s="5"/>
    </row>
    <row r="165" spans="3:6" ht="13.2" x14ac:dyDescent="0.25">
      <c r="C165" s="5"/>
      <c r="D165" s="5"/>
      <c r="E165" s="5"/>
      <c r="F165" s="5"/>
    </row>
    <row r="166" spans="3:6" ht="13.2" x14ac:dyDescent="0.25">
      <c r="C166" s="5"/>
      <c r="D166" s="5"/>
      <c r="E166" s="5"/>
      <c r="F166" s="5"/>
    </row>
    <row r="167" spans="3:6" ht="13.2" x14ac:dyDescent="0.25">
      <c r="C167" s="5"/>
      <c r="D167" s="5"/>
      <c r="E167" s="5"/>
      <c r="F167" s="5"/>
    </row>
    <row r="168" spans="3:6" ht="13.2" x14ac:dyDescent="0.25">
      <c r="C168" s="5"/>
      <c r="D168" s="5"/>
      <c r="E168" s="5"/>
      <c r="F168" s="5"/>
    </row>
    <row r="169" spans="3:6" ht="13.2" x14ac:dyDescent="0.25">
      <c r="C169" s="5"/>
      <c r="D169" s="5"/>
      <c r="E169" s="5"/>
      <c r="F169" s="5"/>
    </row>
    <row r="170" spans="3:6" ht="13.2" x14ac:dyDescent="0.25">
      <c r="C170" s="5"/>
      <c r="D170" s="5"/>
      <c r="E170" s="5"/>
      <c r="F170" s="5"/>
    </row>
    <row r="171" spans="3:6" ht="13.2" x14ac:dyDescent="0.25">
      <c r="C171" s="5"/>
      <c r="D171" s="5"/>
      <c r="E171" s="5"/>
      <c r="F171" s="5"/>
    </row>
    <row r="172" spans="3:6" ht="13.2" x14ac:dyDescent="0.25">
      <c r="C172" s="5"/>
      <c r="D172" s="5"/>
      <c r="E172" s="5"/>
      <c r="F172" s="5"/>
    </row>
    <row r="173" spans="3:6" ht="13.2" x14ac:dyDescent="0.25">
      <c r="C173" s="5"/>
      <c r="D173" s="5"/>
      <c r="E173" s="5"/>
      <c r="F173" s="5"/>
    </row>
    <row r="174" spans="3:6" ht="13.2" x14ac:dyDescent="0.25">
      <c r="C174" s="5"/>
      <c r="D174" s="5"/>
      <c r="E174" s="5"/>
      <c r="F174" s="5"/>
    </row>
    <row r="175" spans="3:6" ht="13.2" x14ac:dyDescent="0.25">
      <c r="C175" s="5"/>
      <c r="D175" s="5"/>
      <c r="E175" s="5"/>
      <c r="F175" s="5"/>
    </row>
    <row r="176" spans="3:6" ht="13.2" x14ac:dyDescent="0.25">
      <c r="C176" s="5"/>
      <c r="D176" s="5"/>
      <c r="E176" s="5"/>
      <c r="F176" s="5"/>
    </row>
    <row r="177" spans="3:6" ht="13.2" x14ac:dyDescent="0.25">
      <c r="C177" s="5"/>
      <c r="D177" s="5"/>
      <c r="E177" s="5"/>
      <c r="F177" s="5"/>
    </row>
    <row r="178" spans="3:6" ht="13.2" x14ac:dyDescent="0.25">
      <c r="C178" s="5"/>
      <c r="D178" s="5"/>
      <c r="E178" s="5"/>
      <c r="F178" s="5"/>
    </row>
    <row r="179" spans="3:6" ht="13.2" x14ac:dyDescent="0.25">
      <c r="C179" s="5"/>
      <c r="D179" s="5"/>
      <c r="E179" s="5"/>
      <c r="F179" s="5"/>
    </row>
    <row r="180" spans="3:6" ht="13.2" x14ac:dyDescent="0.25">
      <c r="C180" s="5"/>
      <c r="D180" s="5"/>
      <c r="E180" s="5"/>
      <c r="F180" s="5"/>
    </row>
    <row r="181" spans="3:6" ht="13.2" x14ac:dyDescent="0.25">
      <c r="C181" s="5"/>
      <c r="D181" s="5"/>
      <c r="E181" s="5"/>
      <c r="F181" s="5"/>
    </row>
    <row r="182" spans="3:6" ht="13.2" x14ac:dyDescent="0.25">
      <c r="C182" s="5"/>
      <c r="D182" s="5"/>
      <c r="E182" s="5"/>
      <c r="F182" s="5"/>
    </row>
    <row r="183" spans="3:6" ht="13.2" x14ac:dyDescent="0.25">
      <c r="C183" s="5"/>
      <c r="D183" s="5"/>
      <c r="E183" s="5"/>
      <c r="F183" s="5"/>
    </row>
    <row r="184" spans="3:6" ht="13.2" x14ac:dyDescent="0.25">
      <c r="C184" s="5"/>
      <c r="D184" s="5"/>
      <c r="E184" s="5"/>
      <c r="F184" s="5"/>
    </row>
    <row r="185" spans="3:6" ht="13.2" x14ac:dyDescent="0.25">
      <c r="C185" s="5"/>
      <c r="D185" s="5"/>
      <c r="E185" s="5"/>
      <c r="F185" s="5"/>
    </row>
    <row r="186" spans="3:6" ht="13.2" x14ac:dyDescent="0.25">
      <c r="C186" s="5"/>
      <c r="D186" s="5"/>
      <c r="E186" s="5"/>
      <c r="F186" s="5"/>
    </row>
    <row r="187" spans="3:6" ht="13.2" x14ac:dyDescent="0.25">
      <c r="C187" s="5"/>
      <c r="D187" s="5"/>
      <c r="E187" s="5"/>
      <c r="F187" s="5"/>
    </row>
    <row r="188" spans="3:6" ht="13.2" x14ac:dyDescent="0.25">
      <c r="C188" s="5"/>
      <c r="D188" s="5"/>
      <c r="E188" s="5"/>
      <c r="F188" s="5"/>
    </row>
    <row r="189" spans="3:6" ht="13.2" x14ac:dyDescent="0.25">
      <c r="C189" s="5"/>
      <c r="D189" s="5"/>
      <c r="E189" s="5"/>
      <c r="F189" s="5"/>
    </row>
    <row r="190" spans="3:6" ht="13.2" x14ac:dyDescent="0.25">
      <c r="C190" s="5"/>
      <c r="D190" s="5"/>
      <c r="E190" s="5"/>
      <c r="F190" s="5"/>
    </row>
    <row r="191" spans="3:6" ht="13.2" x14ac:dyDescent="0.25">
      <c r="C191" s="5"/>
      <c r="D191" s="5"/>
      <c r="E191" s="5"/>
      <c r="F191" s="5"/>
    </row>
    <row r="192" spans="3:6" ht="13.2" x14ac:dyDescent="0.25">
      <c r="C192" s="5"/>
      <c r="D192" s="5"/>
      <c r="E192" s="5"/>
      <c r="F192" s="5"/>
    </row>
    <row r="193" spans="3:6" ht="13.2" x14ac:dyDescent="0.25">
      <c r="C193" s="5"/>
      <c r="D193" s="5"/>
      <c r="E193" s="5"/>
      <c r="F193" s="5"/>
    </row>
    <row r="194" spans="3:6" ht="13.2" x14ac:dyDescent="0.25">
      <c r="C194" s="5"/>
      <c r="D194" s="5"/>
      <c r="E194" s="5"/>
      <c r="F194" s="5"/>
    </row>
    <row r="195" spans="3:6" ht="13.2" x14ac:dyDescent="0.25">
      <c r="C195" s="5"/>
      <c r="D195" s="5"/>
      <c r="E195" s="5"/>
      <c r="F195" s="5"/>
    </row>
    <row r="196" spans="3:6" ht="13.2" x14ac:dyDescent="0.25">
      <c r="C196" s="5"/>
      <c r="D196" s="5"/>
      <c r="E196" s="5"/>
      <c r="F196" s="5"/>
    </row>
    <row r="197" spans="3:6" ht="13.2" x14ac:dyDescent="0.25">
      <c r="C197" s="5"/>
      <c r="D197" s="5"/>
      <c r="E197" s="5"/>
      <c r="F197" s="5"/>
    </row>
    <row r="198" spans="3:6" ht="13.2" x14ac:dyDescent="0.25">
      <c r="C198" s="5"/>
      <c r="D198" s="5"/>
      <c r="E198" s="5"/>
      <c r="F198" s="5"/>
    </row>
    <row r="199" spans="3:6" ht="13.2" x14ac:dyDescent="0.25">
      <c r="C199" s="5"/>
      <c r="D199" s="5"/>
      <c r="E199" s="5"/>
      <c r="F199" s="5"/>
    </row>
    <row r="200" spans="3:6" ht="13.2" x14ac:dyDescent="0.25">
      <c r="C200" s="5"/>
      <c r="D200" s="5"/>
      <c r="E200" s="5"/>
      <c r="F200" s="5"/>
    </row>
    <row r="201" spans="3:6" ht="13.2" x14ac:dyDescent="0.25">
      <c r="C201" s="5"/>
      <c r="D201" s="5"/>
      <c r="E201" s="5"/>
      <c r="F201" s="5"/>
    </row>
    <row r="202" spans="3:6" ht="13.2" x14ac:dyDescent="0.25">
      <c r="C202" s="5"/>
      <c r="D202" s="5"/>
      <c r="E202" s="5"/>
      <c r="F202" s="5"/>
    </row>
    <row r="203" spans="3:6" ht="13.2" x14ac:dyDescent="0.25">
      <c r="C203" s="5"/>
      <c r="D203" s="5"/>
      <c r="E203" s="5"/>
      <c r="F203" s="5"/>
    </row>
    <row r="204" spans="3:6" ht="13.2" x14ac:dyDescent="0.25">
      <c r="C204" s="5"/>
      <c r="D204" s="5"/>
      <c r="E204" s="5"/>
      <c r="F204" s="5"/>
    </row>
    <row r="205" spans="3:6" ht="13.2" x14ac:dyDescent="0.25">
      <c r="C205" s="5"/>
      <c r="D205" s="5"/>
      <c r="E205" s="5"/>
      <c r="F205" s="5"/>
    </row>
    <row r="206" spans="3:6" ht="13.2" x14ac:dyDescent="0.25">
      <c r="C206" s="5"/>
      <c r="D206" s="5"/>
      <c r="E206" s="5"/>
      <c r="F206" s="5"/>
    </row>
    <row r="207" spans="3:6" ht="13.2" x14ac:dyDescent="0.25">
      <c r="C207" s="5"/>
      <c r="D207" s="5"/>
      <c r="E207" s="5"/>
      <c r="F207" s="5"/>
    </row>
    <row r="208" spans="3:6" ht="13.2" x14ac:dyDescent="0.25">
      <c r="C208" s="5"/>
      <c r="D208" s="5"/>
      <c r="E208" s="5"/>
      <c r="F208" s="5"/>
    </row>
    <row r="209" spans="3:6" ht="13.2" x14ac:dyDescent="0.25">
      <c r="C209" s="5"/>
      <c r="D209" s="5"/>
      <c r="E209" s="5"/>
      <c r="F209" s="5"/>
    </row>
    <row r="210" spans="3:6" ht="13.2" x14ac:dyDescent="0.25">
      <c r="C210" s="5"/>
      <c r="D210" s="5"/>
      <c r="E210" s="5"/>
      <c r="F210" s="5"/>
    </row>
    <row r="211" spans="3:6" ht="13.2" x14ac:dyDescent="0.25">
      <c r="C211" s="5"/>
      <c r="D211" s="5"/>
      <c r="E211" s="5"/>
      <c r="F211" s="5"/>
    </row>
    <row r="212" spans="3:6" ht="13.2" x14ac:dyDescent="0.25">
      <c r="C212" s="5"/>
      <c r="D212" s="5"/>
      <c r="E212" s="5"/>
      <c r="F212" s="5"/>
    </row>
    <row r="213" spans="3:6" ht="13.2" x14ac:dyDescent="0.25">
      <c r="C213" s="5"/>
      <c r="D213" s="5"/>
      <c r="E213" s="5"/>
      <c r="F213" s="5"/>
    </row>
    <row r="214" spans="3:6" ht="13.2" x14ac:dyDescent="0.25">
      <c r="C214" s="5"/>
      <c r="D214" s="5"/>
      <c r="E214" s="5"/>
      <c r="F214" s="5"/>
    </row>
    <row r="215" spans="3:6" ht="13.2" x14ac:dyDescent="0.25">
      <c r="C215" s="5"/>
      <c r="D215" s="5"/>
      <c r="E215" s="5"/>
      <c r="F215" s="5"/>
    </row>
    <row r="216" spans="3:6" ht="13.2" x14ac:dyDescent="0.25">
      <c r="C216" s="5"/>
      <c r="D216" s="5"/>
      <c r="E216" s="5"/>
      <c r="F216" s="5"/>
    </row>
    <row r="217" spans="3:6" ht="13.2" x14ac:dyDescent="0.25">
      <c r="C217" s="5"/>
      <c r="D217" s="5"/>
      <c r="E217" s="5"/>
      <c r="F217" s="5"/>
    </row>
    <row r="218" spans="3:6" ht="13.2" x14ac:dyDescent="0.25">
      <c r="C218" s="5"/>
      <c r="D218" s="5"/>
      <c r="E218" s="5"/>
      <c r="F218" s="5"/>
    </row>
    <row r="219" spans="3:6" ht="13.2" x14ac:dyDescent="0.25">
      <c r="C219" s="5"/>
      <c r="D219" s="5"/>
      <c r="E219" s="5"/>
      <c r="F219" s="5"/>
    </row>
    <row r="220" spans="3:6" ht="13.2" x14ac:dyDescent="0.25">
      <c r="C220" s="5"/>
      <c r="D220" s="5"/>
      <c r="E220" s="5"/>
      <c r="F220" s="5"/>
    </row>
    <row r="221" spans="3:6" ht="13.2" x14ac:dyDescent="0.25">
      <c r="C221" s="5"/>
      <c r="D221" s="5"/>
      <c r="E221" s="5"/>
      <c r="F221" s="5"/>
    </row>
    <row r="222" spans="3:6" ht="13.2" x14ac:dyDescent="0.25">
      <c r="C222" s="5"/>
      <c r="D222" s="5"/>
      <c r="E222" s="5"/>
      <c r="F222" s="5"/>
    </row>
    <row r="223" spans="3:6" ht="13.2" x14ac:dyDescent="0.25">
      <c r="C223" s="5"/>
      <c r="D223" s="5"/>
      <c r="E223" s="5"/>
      <c r="F223" s="5"/>
    </row>
    <row r="224" spans="3:6" ht="13.2" x14ac:dyDescent="0.25">
      <c r="C224" s="5"/>
      <c r="D224" s="5"/>
      <c r="E224" s="5"/>
      <c r="F224" s="5"/>
    </row>
    <row r="225" spans="3:6" ht="13.2" x14ac:dyDescent="0.25">
      <c r="C225" s="5"/>
      <c r="D225" s="5"/>
      <c r="E225" s="5"/>
      <c r="F225" s="5"/>
    </row>
    <row r="226" spans="3:6" ht="13.2" x14ac:dyDescent="0.25">
      <c r="C226" s="5"/>
      <c r="D226" s="5"/>
      <c r="E226" s="5"/>
      <c r="F226" s="5"/>
    </row>
    <row r="227" spans="3:6" ht="13.2" x14ac:dyDescent="0.25">
      <c r="C227" s="5"/>
      <c r="D227" s="5"/>
      <c r="E227" s="5"/>
      <c r="F227" s="5"/>
    </row>
    <row r="228" spans="3:6" ht="13.2" x14ac:dyDescent="0.25">
      <c r="C228" s="5"/>
      <c r="D228" s="5"/>
      <c r="E228" s="5"/>
      <c r="F228" s="5"/>
    </row>
    <row r="229" spans="3:6" ht="13.2" x14ac:dyDescent="0.25">
      <c r="C229" s="5"/>
      <c r="D229" s="5"/>
      <c r="E229" s="5"/>
      <c r="F229" s="5"/>
    </row>
    <row r="230" spans="3:6" ht="13.2" x14ac:dyDescent="0.25">
      <c r="C230" s="5"/>
      <c r="D230" s="5"/>
      <c r="E230" s="5"/>
      <c r="F230" s="5"/>
    </row>
    <row r="231" spans="3:6" ht="13.2" x14ac:dyDescent="0.25">
      <c r="C231" s="5"/>
      <c r="D231" s="5"/>
      <c r="E231" s="5"/>
      <c r="F231" s="5"/>
    </row>
    <row r="232" spans="3:6" ht="13.2" x14ac:dyDescent="0.25">
      <c r="C232" s="5"/>
      <c r="D232" s="5"/>
      <c r="E232" s="5"/>
      <c r="F232" s="5"/>
    </row>
    <row r="233" spans="3:6" ht="13.2" x14ac:dyDescent="0.25">
      <c r="C233" s="5"/>
      <c r="D233" s="5"/>
      <c r="E233" s="5"/>
      <c r="F233" s="5"/>
    </row>
    <row r="234" spans="3:6" ht="13.2" x14ac:dyDescent="0.25">
      <c r="C234" s="5"/>
      <c r="D234" s="5"/>
      <c r="E234" s="5"/>
      <c r="F234" s="5"/>
    </row>
    <row r="235" spans="3:6" ht="13.2" x14ac:dyDescent="0.25">
      <c r="C235" s="5"/>
      <c r="D235" s="5"/>
      <c r="E235" s="5"/>
      <c r="F235" s="5"/>
    </row>
    <row r="236" spans="3:6" ht="13.2" x14ac:dyDescent="0.25">
      <c r="C236" s="5"/>
      <c r="D236" s="5"/>
      <c r="E236" s="5"/>
      <c r="F236" s="5"/>
    </row>
    <row r="237" spans="3:6" ht="13.2" x14ac:dyDescent="0.25">
      <c r="C237" s="5"/>
      <c r="D237" s="5"/>
      <c r="E237" s="5"/>
      <c r="F237" s="5"/>
    </row>
    <row r="238" spans="3:6" ht="13.2" x14ac:dyDescent="0.25">
      <c r="C238" s="5"/>
      <c r="D238" s="5"/>
      <c r="E238" s="5"/>
      <c r="F238" s="5"/>
    </row>
    <row r="239" spans="3:6" ht="13.2" x14ac:dyDescent="0.25">
      <c r="C239" s="5"/>
      <c r="D239" s="5"/>
      <c r="E239" s="5"/>
      <c r="F239" s="5"/>
    </row>
    <row r="240" spans="3:6" ht="13.2" x14ac:dyDescent="0.25">
      <c r="C240" s="5"/>
      <c r="D240" s="5"/>
      <c r="E240" s="5"/>
      <c r="F240" s="5"/>
    </row>
    <row r="241" spans="3:6" ht="13.2" x14ac:dyDescent="0.25">
      <c r="C241" s="5"/>
      <c r="D241" s="5"/>
      <c r="E241" s="5"/>
      <c r="F241" s="5"/>
    </row>
    <row r="242" spans="3:6" ht="13.2" x14ac:dyDescent="0.25">
      <c r="C242" s="5"/>
      <c r="D242" s="5"/>
      <c r="E242" s="5"/>
      <c r="F242" s="5"/>
    </row>
    <row r="243" spans="3:6" ht="13.2" x14ac:dyDescent="0.25">
      <c r="C243" s="5"/>
      <c r="D243" s="5"/>
      <c r="E243" s="5"/>
      <c r="F243" s="5"/>
    </row>
    <row r="244" spans="3:6" ht="13.2" x14ac:dyDescent="0.25">
      <c r="C244" s="5"/>
      <c r="D244" s="5"/>
      <c r="E244" s="5"/>
      <c r="F244" s="5"/>
    </row>
    <row r="245" spans="3:6" ht="13.2" x14ac:dyDescent="0.25">
      <c r="C245" s="5"/>
      <c r="D245" s="5"/>
      <c r="E245" s="5"/>
      <c r="F245" s="5"/>
    </row>
    <row r="246" spans="3:6" ht="13.2" x14ac:dyDescent="0.25">
      <c r="C246" s="5"/>
      <c r="D246" s="5"/>
      <c r="E246" s="5"/>
      <c r="F246" s="5"/>
    </row>
    <row r="247" spans="3:6" ht="13.2" x14ac:dyDescent="0.25">
      <c r="C247" s="5"/>
      <c r="D247" s="5"/>
      <c r="E247" s="5"/>
      <c r="F247" s="5"/>
    </row>
    <row r="248" spans="3:6" ht="13.2" x14ac:dyDescent="0.25">
      <c r="C248" s="5"/>
      <c r="D248" s="5"/>
      <c r="E248" s="5"/>
      <c r="F248" s="5"/>
    </row>
    <row r="249" spans="3:6" ht="13.2" x14ac:dyDescent="0.25">
      <c r="C249" s="5"/>
      <c r="D249" s="5"/>
      <c r="E249" s="5"/>
      <c r="F249" s="5"/>
    </row>
    <row r="250" spans="3:6" ht="13.2" x14ac:dyDescent="0.25">
      <c r="C250" s="5"/>
      <c r="D250" s="5"/>
      <c r="E250" s="5"/>
      <c r="F250" s="5"/>
    </row>
    <row r="251" spans="3:6" ht="13.2" x14ac:dyDescent="0.25">
      <c r="C251" s="5"/>
      <c r="D251" s="5"/>
      <c r="E251" s="5"/>
      <c r="F251" s="5"/>
    </row>
    <row r="252" spans="3:6" ht="13.2" x14ac:dyDescent="0.25">
      <c r="C252" s="5"/>
      <c r="D252" s="5"/>
      <c r="E252" s="5"/>
      <c r="F252" s="5"/>
    </row>
    <row r="253" spans="3:6" ht="13.2" x14ac:dyDescent="0.25">
      <c r="C253" s="5"/>
      <c r="D253" s="5"/>
      <c r="E253" s="5"/>
      <c r="F253" s="5"/>
    </row>
    <row r="254" spans="3:6" ht="13.2" x14ac:dyDescent="0.25">
      <c r="C254" s="5"/>
      <c r="D254" s="5"/>
      <c r="E254" s="5"/>
      <c r="F254" s="5"/>
    </row>
    <row r="255" spans="3:6" ht="13.2" x14ac:dyDescent="0.25">
      <c r="C255" s="5"/>
      <c r="D255" s="5"/>
      <c r="E255" s="5"/>
      <c r="F255" s="5"/>
    </row>
    <row r="256" spans="3:6" ht="13.2" x14ac:dyDescent="0.25">
      <c r="C256" s="5"/>
      <c r="D256" s="5"/>
      <c r="E256" s="5"/>
      <c r="F256" s="5"/>
    </row>
    <row r="257" spans="3:6" ht="13.2" x14ac:dyDescent="0.25">
      <c r="C257" s="5"/>
      <c r="D257" s="5"/>
      <c r="E257" s="5"/>
      <c r="F257" s="5"/>
    </row>
    <row r="258" spans="3:6" ht="13.2" x14ac:dyDescent="0.25">
      <c r="C258" s="5"/>
      <c r="D258" s="5"/>
      <c r="E258" s="5"/>
      <c r="F258" s="5"/>
    </row>
    <row r="259" spans="3:6" ht="13.2" x14ac:dyDescent="0.25">
      <c r="C259" s="5"/>
      <c r="D259" s="5"/>
      <c r="E259" s="5"/>
      <c r="F259" s="5"/>
    </row>
    <row r="260" spans="3:6" ht="13.2" x14ac:dyDescent="0.25">
      <c r="C260" s="5"/>
      <c r="D260" s="5"/>
      <c r="E260" s="5"/>
      <c r="F260" s="5"/>
    </row>
    <row r="261" spans="3:6" ht="13.2" x14ac:dyDescent="0.25">
      <c r="C261" s="5"/>
      <c r="D261" s="5"/>
      <c r="E261" s="5"/>
      <c r="F261" s="5"/>
    </row>
    <row r="262" spans="3:6" ht="13.2" x14ac:dyDescent="0.25">
      <c r="C262" s="5"/>
      <c r="D262" s="5"/>
      <c r="E262" s="5"/>
      <c r="F262" s="5"/>
    </row>
    <row r="263" spans="3:6" ht="13.2" x14ac:dyDescent="0.25">
      <c r="C263" s="5"/>
      <c r="D263" s="5"/>
      <c r="E263" s="5"/>
      <c r="F263" s="5"/>
    </row>
    <row r="264" spans="3:6" ht="13.2" x14ac:dyDescent="0.25">
      <c r="C264" s="5"/>
      <c r="D264" s="5"/>
      <c r="E264" s="5"/>
      <c r="F264" s="5"/>
    </row>
    <row r="265" spans="3:6" ht="13.2" x14ac:dyDescent="0.25">
      <c r="C265" s="5"/>
      <c r="D265" s="5"/>
      <c r="E265" s="5"/>
      <c r="F265" s="5"/>
    </row>
    <row r="266" spans="3:6" ht="13.2" x14ac:dyDescent="0.25">
      <c r="C266" s="5"/>
      <c r="D266" s="5"/>
      <c r="E266" s="5"/>
      <c r="F266" s="5"/>
    </row>
    <row r="267" spans="3:6" ht="13.2" x14ac:dyDescent="0.25">
      <c r="C267" s="5"/>
      <c r="D267" s="5"/>
      <c r="E267" s="5"/>
      <c r="F267" s="5"/>
    </row>
    <row r="268" spans="3:6" ht="13.2" x14ac:dyDescent="0.25">
      <c r="C268" s="5"/>
      <c r="D268" s="5"/>
      <c r="E268" s="5"/>
      <c r="F268" s="5"/>
    </row>
    <row r="269" spans="3:6" ht="13.2" x14ac:dyDescent="0.25">
      <c r="C269" s="5"/>
      <c r="D269" s="5"/>
      <c r="E269" s="5"/>
      <c r="F269" s="5"/>
    </row>
    <row r="270" spans="3:6" ht="13.2" x14ac:dyDescent="0.25">
      <c r="C270" s="5"/>
      <c r="D270" s="5"/>
      <c r="E270" s="5"/>
      <c r="F270" s="5"/>
    </row>
    <row r="271" spans="3:6" ht="13.2" x14ac:dyDescent="0.25">
      <c r="C271" s="5"/>
      <c r="D271" s="5"/>
      <c r="E271" s="5"/>
      <c r="F271" s="5"/>
    </row>
    <row r="272" spans="3:6" ht="13.2" x14ac:dyDescent="0.25">
      <c r="C272" s="5"/>
      <c r="D272" s="5"/>
      <c r="E272" s="5"/>
      <c r="F272" s="5"/>
    </row>
    <row r="273" spans="3:6" ht="13.2" x14ac:dyDescent="0.25">
      <c r="C273" s="5"/>
      <c r="D273" s="5"/>
      <c r="E273" s="5"/>
      <c r="F273" s="5"/>
    </row>
    <row r="274" spans="3:6" ht="13.2" x14ac:dyDescent="0.25">
      <c r="C274" s="5"/>
      <c r="D274" s="5"/>
      <c r="E274" s="5"/>
      <c r="F274" s="5"/>
    </row>
    <row r="275" spans="3:6" ht="13.2" x14ac:dyDescent="0.25">
      <c r="C275" s="5"/>
      <c r="D275" s="5"/>
      <c r="E275" s="5"/>
      <c r="F275" s="5"/>
    </row>
    <row r="276" spans="3:6" ht="13.2" x14ac:dyDescent="0.25">
      <c r="C276" s="5"/>
      <c r="D276" s="5"/>
      <c r="E276" s="5"/>
      <c r="F276" s="5"/>
    </row>
    <row r="277" spans="3:6" ht="13.2" x14ac:dyDescent="0.25">
      <c r="C277" s="5"/>
      <c r="D277" s="5"/>
      <c r="E277" s="5"/>
      <c r="F277" s="5"/>
    </row>
    <row r="278" spans="3:6" ht="13.2" x14ac:dyDescent="0.25">
      <c r="C278" s="5"/>
      <c r="D278" s="5"/>
      <c r="E278" s="5"/>
      <c r="F278" s="5"/>
    </row>
    <row r="279" spans="3:6" ht="13.2" x14ac:dyDescent="0.25">
      <c r="C279" s="5"/>
      <c r="D279" s="5"/>
      <c r="E279" s="5"/>
      <c r="F279" s="5"/>
    </row>
    <row r="280" spans="3:6" ht="13.2" x14ac:dyDescent="0.25">
      <c r="C280" s="5"/>
      <c r="D280" s="5"/>
      <c r="E280" s="5"/>
      <c r="F280" s="5"/>
    </row>
    <row r="281" spans="3:6" ht="13.2" x14ac:dyDescent="0.25">
      <c r="C281" s="5"/>
      <c r="D281" s="5"/>
      <c r="E281" s="5"/>
      <c r="F281" s="5"/>
    </row>
    <row r="282" spans="3:6" ht="13.2" x14ac:dyDescent="0.25">
      <c r="C282" s="5"/>
      <c r="D282" s="5"/>
      <c r="E282" s="5"/>
      <c r="F282" s="5"/>
    </row>
    <row r="283" spans="3:6" ht="13.2" x14ac:dyDescent="0.25">
      <c r="C283" s="5"/>
      <c r="D283" s="5"/>
      <c r="E283" s="5"/>
      <c r="F283" s="5"/>
    </row>
    <row r="284" spans="3:6" ht="13.2" x14ac:dyDescent="0.25">
      <c r="C284" s="5"/>
      <c r="D284" s="5"/>
      <c r="E284" s="5"/>
      <c r="F284" s="5"/>
    </row>
    <row r="285" spans="3:6" ht="13.2" x14ac:dyDescent="0.25">
      <c r="C285" s="5"/>
      <c r="D285" s="5"/>
      <c r="E285" s="5"/>
      <c r="F285" s="5"/>
    </row>
    <row r="286" spans="3:6" ht="13.2" x14ac:dyDescent="0.25">
      <c r="C286" s="5"/>
      <c r="D286" s="5"/>
      <c r="E286" s="5"/>
      <c r="F286" s="5"/>
    </row>
    <row r="287" spans="3:6" ht="13.2" x14ac:dyDescent="0.25">
      <c r="C287" s="5"/>
      <c r="D287" s="5"/>
      <c r="E287" s="5"/>
      <c r="F287" s="5"/>
    </row>
    <row r="288" spans="3:6" ht="13.2" x14ac:dyDescent="0.25">
      <c r="C288" s="5"/>
      <c r="D288" s="5"/>
      <c r="E288" s="5"/>
      <c r="F288" s="5"/>
    </row>
    <row r="289" spans="3:6" ht="13.2" x14ac:dyDescent="0.25">
      <c r="C289" s="5"/>
      <c r="D289" s="5"/>
      <c r="E289" s="5"/>
      <c r="F289" s="5"/>
    </row>
    <row r="290" spans="3:6" ht="13.2" x14ac:dyDescent="0.25">
      <c r="C290" s="5"/>
      <c r="D290" s="5"/>
      <c r="E290" s="5"/>
      <c r="F290" s="5"/>
    </row>
    <row r="291" spans="3:6" ht="13.2" x14ac:dyDescent="0.25">
      <c r="C291" s="5"/>
      <c r="D291" s="5"/>
      <c r="E291" s="5"/>
      <c r="F291" s="5"/>
    </row>
    <row r="292" spans="3:6" ht="13.2" x14ac:dyDescent="0.25">
      <c r="C292" s="5"/>
      <c r="D292" s="5"/>
      <c r="E292" s="5"/>
      <c r="F292" s="5"/>
    </row>
    <row r="293" spans="3:6" ht="13.2" x14ac:dyDescent="0.25">
      <c r="C293" s="5"/>
      <c r="D293" s="5"/>
      <c r="E293" s="5"/>
      <c r="F293" s="5"/>
    </row>
    <row r="294" spans="3:6" ht="13.2" x14ac:dyDescent="0.25">
      <c r="C294" s="5"/>
      <c r="D294" s="5"/>
      <c r="E294" s="5"/>
      <c r="F294" s="5"/>
    </row>
    <row r="295" spans="3:6" ht="13.2" x14ac:dyDescent="0.25">
      <c r="C295" s="5"/>
      <c r="D295" s="5"/>
      <c r="E295" s="5"/>
      <c r="F295" s="5"/>
    </row>
    <row r="296" spans="3:6" ht="13.2" x14ac:dyDescent="0.25">
      <c r="C296" s="5"/>
      <c r="D296" s="5"/>
      <c r="E296" s="5"/>
      <c r="F296" s="5"/>
    </row>
    <row r="297" spans="3:6" ht="13.2" x14ac:dyDescent="0.25">
      <c r="C297" s="5"/>
      <c r="D297" s="5"/>
      <c r="E297" s="5"/>
      <c r="F297" s="5"/>
    </row>
    <row r="298" spans="3:6" ht="13.2" x14ac:dyDescent="0.25">
      <c r="C298" s="5"/>
      <c r="D298" s="5"/>
      <c r="E298" s="5"/>
      <c r="F298" s="5"/>
    </row>
    <row r="299" spans="3:6" ht="13.2" x14ac:dyDescent="0.25">
      <c r="C299" s="5"/>
      <c r="D299" s="5"/>
      <c r="E299" s="5"/>
      <c r="F299" s="5"/>
    </row>
    <row r="300" spans="3:6" ht="13.2" x14ac:dyDescent="0.25">
      <c r="C300" s="5"/>
      <c r="D300" s="5"/>
      <c r="E300" s="5"/>
      <c r="F300" s="5"/>
    </row>
    <row r="301" spans="3:6" ht="13.2" x14ac:dyDescent="0.25">
      <c r="C301" s="5"/>
      <c r="D301" s="5"/>
      <c r="E301" s="5"/>
      <c r="F301" s="5"/>
    </row>
    <row r="302" spans="3:6" ht="13.2" x14ac:dyDescent="0.25">
      <c r="C302" s="5"/>
      <c r="D302" s="5"/>
      <c r="E302" s="5"/>
      <c r="F302" s="5"/>
    </row>
    <row r="303" spans="3:6" ht="13.2" x14ac:dyDescent="0.25">
      <c r="C303" s="5"/>
      <c r="D303" s="5"/>
      <c r="E303" s="5"/>
      <c r="F303" s="5"/>
    </row>
    <row r="304" spans="3:6" ht="13.2" x14ac:dyDescent="0.25">
      <c r="C304" s="5"/>
      <c r="D304" s="5"/>
      <c r="E304" s="5"/>
      <c r="F304" s="5"/>
    </row>
    <row r="305" spans="3:6" ht="13.2" x14ac:dyDescent="0.25">
      <c r="C305" s="5"/>
      <c r="D305" s="5"/>
      <c r="E305" s="5"/>
      <c r="F305" s="5"/>
    </row>
    <row r="306" spans="3:6" ht="13.2" x14ac:dyDescent="0.25">
      <c r="C306" s="5"/>
      <c r="D306" s="5"/>
      <c r="E306" s="5"/>
      <c r="F306" s="5"/>
    </row>
    <row r="307" spans="3:6" ht="13.2" x14ac:dyDescent="0.25">
      <c r="C307" s="5"/>
      <c r="D307" s="5"/>
      <c r="E307" s="5"/>
      <c r="F307" s="5"/>
    </row>
    <row r="308" spans="3:6" ht="13.2" x14ac:dyDescent="0.25">
      <c r="C308" s="5"/>
      <c r="D308" s="5"/>
      <c r="E308" s="5"/>
      <c r="F308" s="5"/>
    </row>
    <row r="309" spans="3:6" ht="13.2" x14ac:dyDescent="0.25">
      <c r="C309" s="5"/>
      <c r="D309" s="5"/>
      <c r="E309" s="5"/>
      <c r="F309" s="5"/>
    </row>
    <row r="310" spans="3:6" ht="13.2" x14ac:dyDescent="0.25">
      <c r="C310" s="5"/>
      <c r="D310" s="5"/>
      <c r="E310" s="5"/>
      <c r="F310" s="5"/>
    </row>
    <row r="311" spans="3:6" ht="13.2" x14ac:dyDescent="0.25">
      <c r="C311" s="5"/>
      <c r="D311" s="5"/>
      <c r="E311" s="5"/>
      <c r="F311" s="5"/>
    </row>
    <row r="312" spans="3:6" ht="13.2" x14ac:dyDescent="0.25">
      <c r="C312" s="5"/>
      <c r="D312" s="5"/>
      <c r="E312" s="5"/>
      <c r="F312" s="5"/>
    </row>
    <row r="313" spans="3:6" ht="13.2" x14ac:dyDescent="0.25">
      <c r="C313" s="5"/>
      <c r="D313" s="5"/>
      <c r="E313" s="5"/>
      <c r="F313" s="5"/>
    </row>
    <row r="314" spans="3:6" ht="13.2" x14ac:dyDescent="0.25">
      <c r="C314" s="5"/>
      <c r="D314" s="5"/>
      <c r="E314" s="5"/>
      <c r="F314" s="5"/>
    </row>
    <row r="315" spans="3:6" ht="13.2" x14ac:dyDescent="0.25">
      <c r="C315" s="5"/>
      <c r="D315" s="5"/>
      <c r="E315" s="5"/>
      <c r="F315" s="5"/>
    </row>
    <row r="316" spans="3:6" ht="13.2" x14ac:dyDescent="0.25">
      <c r="C316" s="5"/>
      <c r="D316" s="5"/>
      <c r="E316" s="5"/>
      <c r="F316" s="5"/>
    </row>
    <row r="317" spans="3:6" ht="13.2" x14ac:dyDescent="0.25">
      <c r="C317" s="5"/>
      <c r="D317" s="5"/>
      <c r="E317" s="5"/>
      <c r="F317" s="5"/>
    </row>
    <row r="318" spans="3:6" ht="13.2" x14ac:dyDescent="0.25">
      <c r="C318" s="5"/>
      <c r="D318" s="5"/>
      <c r="E318" s="5"/>
      <c r="F318" s="5"/>
    </row>
    <row r="319" spans="3:6" ht="13.2" x14ac:dyDescent="0.25">
      <c r="C319" s="5"/>
      <c r="D319" s="5"/>
      <c r="E319" s="5"/>
      <c r="F319" s="5"/>
    </row>
    <row r="320" spans="3:6" ht="13.2" x14ac:dyDescent="0.25">
      <c r="C320" s="5"/>
      <c r="D320" s="5"/>
      <c r="E320" s="5"/>
      <c r="F320" s="5"/>
    </row>
    <row r="321" spans="3:6" ht="13.2" x14ac:dyDescent="0.25">
      <c r="C321" s="5"/>
      <c r="D321" s="5"/>
      <c r="E321" s="5"/>
      <c r="F321" s="5"/>
    </row>
    <row r="322" spans="3:6" ht="13.2" x14ac:dyDescent="0.25">
      <c r="C322" s="5"/>
      <c r="D322" s="5"/>
      <c r="E322" s="5"/>
      <c r="F322" s="5"/>
    </row>
    <row r="323" spans="3:6" ht="13.2" x14ac:dyDescent="0.25">
      <c r="C323" s="5"/>
      <c r="D323" s="5"/>
      <c r="E323" s="5"/>
      <c r="F323" s="5"/>
    </row>
    <row r="324" spans="3:6" ht="13.2" x14ac:dyDescent="0.25">
      <c r="C324" s="5"/>
      <c r="D324" s="5"/>
      <c r="E324" s="5"/>
      <c r="F324" s="5"/>
    </row>
    <row r="325" spans="3:6" ht="13.2" x14ac:dyDescent="0.25">
      <c r="C325" s="5"/>
      <c r="D325" s="5"/>
      <c r="E325" s="5"/>
      <c r="F325" s="5"/>
    </row>
    <row r="326" spans="3:6" ht="13.2" x14ac:dyDescent="0.25">
      <c r="C326" s="5"/>
      <c r="D326" s="5"/>
      <c r="E326" s="5"/>
      <c r="F326" s="5"/>
    </row>
    <row r="327" spans="3:6" ht="13.2" x14ac:dyDescent="0.25">
      <c r="C327" s="5"/>
      <c r="D327" s="5"/>
      <c r="E327" s="5"/>
      <c r="F327" s="5"/>
    </row>
    <row r="328" spans="3:6" ht="13.2" x14ac:dyDescent="0.25">
      <c r="C328" s="5"/>
      <c r="D328" s="5"/>
      <c r="E328" s="5"/>
      <c r="F328" s="5"/>
    </row>
    <row r="329" spans="3:6" ht="13.2" x14ac:dyDescent="0.25">
      <c r="C329" s="5"/>
      <c r="D329" s="5"/>
      <c r="E329" s="5"/>
      <c r="F329" s="5"/>
    </row>
    <row r="330" spans="3:6" ht="13.2" x14ac:dyDescent="0.25">
      <c r="C330" s="5"/>
      <c r="D330" s="5"/>
      <c r="E330" s="5"/>
      <c r="F330" s="5"/>
    </row>
    <row r="331" spans="3:6" ht="13.2" x14ac:dyDescent="0.25">
      <c r="C331" s="5"/>
      <c r="D331" s="5"/>
      <c r="E331" s="5"/>
      <c r="F331" s="5"/>
    </row>
    <row r="332" spans="3:6" ht="13.2" x14ac:dyDescent="0.25">
      <c r="C332" s="5"/>
      <c r="D332" s="5"/>
      <c r="E332" s="5"/>
      <c r="F332" s="5"/>
    </row>
    <row r="333" spans="3:6" ht="13.2" x14ac:dyDescent="0.25">
      <c r="C333" s="5"/>
      <c r="D333" s="5"/>
      <c r="E333" s="5"/>
      <c r="F333" s="5"/>
    </row>
    <row r="334" spans="3:6" ht="13.2" x14ac:dyDescent="0.25">
      <c r="C334" s="5"/>
      <c r="D334" s="5"/>
      <c r="E334" s="5"/>
      <c r="F334" s="5"/>
    </row>
    <row r="335" spans="3:6" ht="13.2" x14ac:dyDescent="0.25">
      <c r="C335" s="5"/>
      <c r="D335" s="5"/>
      <c r="E335" s="5"/>
      <c r="F335" s="5"/>
    </row>
    <row r="336" spans="3:6" ht="13.2" x14ac:dyDescent="0.25">
      <c r="C336" s="5"/>
      <c r="D336" s="5"/>
      <c r="E336" s="5"/>
      <c r="F336" s="5"/>
    </row>
    <row r="337" spans="3:6" ht="13.2" x14ac:dyDescent="0.25">
      <c r="C337" s="5"/>
      <c r="D337" s="5"/>
      <c r="E337" s="5"/>
      <c r="F337" s="5"/>
    </row>
    <row r="338" spans="3:6" ht="13.2" x14ac:dyDescent="0.25">
      <c r="C338" s="5"/>
      <c r="D338" s="5"/>
      <c r="E338" s="5"/>
      <c r="F338" s="5"/>
    </row>
    <row r="339" spans="3:6" ht="13.2" x14ac:dyDescent="0.25">
      <c r="C339" s="5"/>
      <c r="D339" s="5"/>
      <c r="E339" s="5"/>
      <c r="F339" s="5"/>
    </row>
    <row r="340" spans="3:6" ht="13.2" x14ac:dyDescent="0.25">
      <c r="C340" s="5"/>
      <c r="D340" s="5"/>
      <c r="E340" s="5"/>
      <c r="F340" s="5"/>
    </row>
    <row r="341" spans="3:6" ht="13.2" x14ac:dyDescent="0.25">
      <c r="C341" s="5"/>
      <c r="D341" s="5"/>
      <c r="E341" s="5"/>
      <c r="F341" s="5"/>
    </row>
    <row r="342" spans="3:6" ht="13.2" x14ac:dyDescent="0.25">
      <c r="C342" s="5"/>
      <c r="D342" s="5"/>
      <c r="E342" s="5"/>
      <c r="F342" s="5"/>
    </row>
    <row r="343" spans="3:6" ht="13.2" x14ac:dyDescent="0.25">
      <c r="C343" s="5"/>
      <c r="D343" s="5"/>
      <c r="E343" s="5"/>
      <c r="F343" s="5"/>
    </row>
    <row r="344" spans="3:6" ht="13.2" x14ac:dyDescent="0.25">
      <c r="C344" s="5"/>
      <c r="D344" s="5"/>
      <c r="E344" s="5"/>
      <c r="F344" s="5"/>
    </row>
    <row r="345" spans="3:6" ht="13.2" x14ac:dyDescent="0.25">
      <c r="C345" s="5"/>
      <c r="D345" s="5"/>
      <c r="E345" s="5"/>
      <c r="F345" s="5"/>
    </row>
    <row r="346" spans="3:6" ht="13.2" x14ac:dyDescent="0.25">
      <c r="C346" s="5"/>
      <c r="D346" s="5"/>
      <c r="E346" s="5"/>
      <c r="F346" s="5"/>
    </row>
    <row r="347" spans="3:6" ht="13.2" x14ac:dyDescent="0.25">
      <c r="C347" s="5"/>
      <c r="D347" s="5"/>
      <c r="E347" s="5"/>
      <c r="F347" s="5"/>
    </row>
    <row r="348" spans="3:6" ht="13.2" x14ac:dyDescent="0.25">
      <c r="C348" s="5"/>
      <c r="D348" s="5"/>
      <c r="E348" s="5"/>
      <c r="F348" s="5"/>
    </row>
    <row r="349" spans="3:6" ht="13.2" x14ac:dyDescent="0.25">
      <c r="C349" s="5"/>
      <c r="D349" s="5"/>
      <c r="E349" s="5"/>
      <c r="F349" s="5"/>
    </row>
    <row r="350" spans="3:6" ht="13.2" x14ac:dyDescent="0.25">
      <c r="C350" s="5"/>
      <c r="D350" s="5"/>
      <c r="E350" s="5"/>
      <c r="F350" s="5"/>
    </row>
    <row r="351" spans="3:6" ht="13.2" x14ac:dyDescent="0.25">
      <c r="C351" s="5"/>
      <c r="D351" s="5"/>
      <c r="E351" s="5"/>
      <c r="F351" s="5"/>
    </row>
    <row r="352" spans="3:6" ht="13.2" x14ac:dyDescent="0.25">
      <c r="C352" s="5"/>
      <c r="D352" s="5"/>
      <c r="E352" s="5"/>
      <c r="F352" s="5"/>
    </row>
    <row r="353" spans="3:6" ht="13.2" x14ac:dyDescent="0.25">
      <c r="C353" s="5"/>
      <c r="D353" s="5"/>
      <c r="E353" s="5"/>
      <c r="F353" s="5"/>
    </row>
    <row r="354" spans="3:6" ht="13.2" x14ac:dyDescent="0.25">
      <c r="C354" s="5"/>
      <c r="D354" s="5"/>
      <c r="E354" s="5"/>
      <c r="F354" s="5"/>
    </row>
    <row r="355" spans="3:6" ht="13.2" x14ac:dyDescent="0.25">
      <c r="C355" s="5"/>
      <c r="D355" s="5"/>
      <c r="E355" s="5"/>
      <c r="F355" s="5"/>
    </row>
    <row r="356" spans="3:6" ht="13.2" x14ac:dyDescent="0.25">
      <c r="C356" s="5"/>
      <c r="D356" s="5"/>
      <c r="E356" s="5"/>
      <c r="F356" s="5"/>
    </row>
    <row r="357" spans="3:6" ht="13.2" x14ac:dyDescent="0.25">
      <c r="C357" s="5"/>
      <c r="D357" s="5"/>
      <c r="E357" s="5"/>
      <c r="F357" s="5"/>
    </row>
    <row r="358" spans="3:6" ht="13.2" x14ac:dyDescent="0.25">
      <c r="C358" s="5"/>
      <c r="D358" s="5"/>
      <c r="E358" s="5"/>
      <c r="F358" s="5"/>
    </row>
    <row r="359" spans="3:6" ht="13.2" x14ac:dyDescent="0.25">
      <c r="C359" s="5"/>
      <c r="D359" s="5"/>
      <c r="E359" s="5"/>
      <c r="F359" s="5"/>
    </row>
    <row r="360" spans="3:6" ht="13.2" x14ac:dyDescent="0.25">
      <c r="C360" s="5"/>
      <c r="D360" s="5"/>
      <c r="E360" s="5"/>
      <c r="F360" s="5"/>
    </row>
    <row r="361" spans="3:6" ht="13.2" x14ac:dyDescent="0.25">
      <c r="C361" s="5"/>
      <c r="D361" s="5"/>
      <c r="E361" s="5"/>
      <c r="F361" s="5"/>
    </row>
    <row r="362" spans="3:6" ht="13.2" x14ac:dyDescent="0.25">
      <c r="C362" s="5"/>
      <c r="D362" s="5"/>
      <c r="E362" s="5"/>
      <c r="F362" s="5"/>
    </row>
    <row r="363" spans="3:6" ht="13.2" x14ac:dyDescent="0.25">
      <c r="C363" s="5"/>
      <c r="D363" s="5"/>
      <c r="E363" s="5"/>
      <c r="F363" s="5"/>
    </row>
    <row r="364" spans="3:6" ht="13.2" x14ac:dyDescent="0.25">
      <c r="C364" s="5"/>
      <c r="D364" s="5"/>
      <c r="E364" s="5"/>
      <c r="F364" s="5"/>
    </row>
    <row r="365" spans="3:6" ht="13.2" x14ac:dyDescent="0.25">
      <c r="C365" s="5"/>
      <c r="D365" s="5"/>
      <c r="E365" s="5"/>
      <c r="F365" s="5"/>
    </row>
    <row r="366" spans="3:6" ht="13.2" x14ac:dyDescent="0.25">
      <c r="C366" s="5"/>
      <c r="D366" s="5"/>
      <c r="E366" s="5"/>
      <c r="F366" s="5"/>
    </row>
    <row r="367" spans="3:6" ht="13.2" x14ac:dyDescent="0.25">
      <c r="C367" s="5"/>
      <c r="D367" s="5"/>
      <c r="E367" s="5"/>
      <c r="F367" s="5"/>
    </row>
    <row r="368" spans="3:6" ht="13.2" x14ac:dyDescent="0.25">
      <c r="C368" s="5"/>
      <c r="D368" s="5"/>
      <c r="E368" s="5"/>
      <c r="F368" s="5"/>
    </row>
    <row r="369" spans="3:6" ht="13.2" x14ac:dyDescent="0.25">
      <c r="C369" s="5"/>
      <c r="D369" s="5"/>
      <c r="E369" s="5"/>
      <c r="F369" s="5"/>
    </row>
    <row r="370" spans="3:6" ht="13.2" x14ac:dyDescent="0.25">
      <c r="C370" s="5"/>
      <c r="D370" s="5"/>
      <c r="E370" s="5"/>
      <c r="F370" s="5"/>
    </row>
    <row r="371" spans="3:6" ht="13.2" x14ac:dyDescent="0.25">
      <c r="C371" s="5"/>
      <c r="D371" s="5"/>
      <c r="E371" s="5"/>
      <c r="F371" s="5"/>
    </row>
    <row r="372" spans="3:6" ht="13.2" x14ac:dyDescent="0.25">
      <c r="C372" s="5"/>
      <c r="D372" s="5"/>
      <c r="E372" s="5"/>
      <c r="F372" s="5"/>
    </row>
    <row r="373" spans="3:6" ht="13.2" x14ac:dyDescent="0.25">
      <c r="C373" s="5"/>
      <c r="D373" s="5"/>
      <c r="E373" s="5"/>
      <c r="F373" s="5"/>
    </row>
    <row r="374" spans="3:6" ht="13.2" x14ac:dyDescent="0.25">
      <c r="C374" s="5"/>
      <c r="D374" s="5"/>
      <c r="E374" s="5"/>
      <c r="F374" s="5"/>
    </row>
    <row r="375" spans="3:6" ht="13.2" x14ac:dyDescent="0.25">
      <c r="C375" s="5"/>
      <c r="D375" s="5"/>
      <c r="E375" s="5"/>
      <c r="F375" s="5"/>
    </row>
    <row r="376" spans="3:6" ht="13.2" x14ac:dyDescent="0.25">
      <c r="C376" s="5"/>
      <c r="D376" s="5"/>
      <c r="E376" s="5"/>
      <c r="F376" s="5"/>
    </row>
    <row r="377" spans="3:6" ht="13.2" x14ac:dyDescent="0.25">
      <c r="C377" s="5"/>
      <c r="D377" s="5"/>
      <c r="E377" s="5"/>
      <c r="F377" s="5"/>
    </row>
    <row r="378" spans="3:6" ht="13.2" x14ac:dyDescent="0.25">
      <c r="C378" s="5"/>
      <c r="D378" s="5"/>
      <c r="E378" s="5"/>
      <c r="F378" s="5"/>
    </row>
    <row r="379" spans="3:6" ht="13.2" x14ac:dyDescent="0.25">
      <c r="C379" s="5"/>
      <c r="D379" s="5"/>
      <c r="E379" s="5"/>
      <c r="F379" s="5"/>
    </row>
    <row r="380" spans="3:6" ht="13.2" x14ac:dyDescent="0.25">
      <c r="C380" s="5"/>
      <c r="D380" s="5"/>
      <c r="E380" s="5"/>
      <c r="F380" s="5"/>
    </row>
    <row r="381" spans="3:6" ht="13.2" x14ac:dyDescent="0.25">
      <c r="C381" s="5"/>
      <c r="D381" s="5"/>
      <c r="E381" s="5"/>
      <c r="F381" s="5"/>
    </row>
    <row r="382" spans="3:6" ht="13.2" x14ac:dyDescent="0.25">
      <c r="C382" s="5"/>
      <c r="D382" s="5"/>
      <c r="E382" s="5"/>
      <c r="F382" s="5"/>
    </row>
    <row r="383" spans="3:6" ht="13.2" x14ac:dyDescent="0.25">
      <c r="C383" s="5"/>
      <c r="D383" s="5"/>
      <c r="E383" s="5"/>
      <c r="F383" s="5"/>
    </row>
    <row r="384" spans="3:6" ht="13.2" x14ac:dyDescent="0.25">
      <c r="C384" s="5"/>
      <c r="D384" s="5"/>
      <c r="E384" s="5"/>
      <c r="F384" s="5"/>
    </row>
    <row r="385" spans="3:6" ht="13.2" x14ac:dyDescent="0.25">
      <c r="C385" s="5"/>
      <c r="D385" s="5"/>
      <c r="E385" s="5"/>
      <c r="F385" s="5"/>
    </row>
    <row r="386" spans="3:6" ht="13.2" x14ac:dyDescent="0.25">
      <c r="C386" s="5"/>
      <c r="D386" s="5"/>
      <c r="E386" s="5"/>
      <c r="F386" s="5"/>
    </row>
    <row r="387" spans="3:6" ht="13.2" x14ac:dyDescent="0.25">
      <c r="C387" s="5"/>
      <c r="D387" s="5"/>
      <c r="E387" s="5"/>
      <c r="F387" s="5"/>
    </row>
    <row r="388" spans="3:6" ht="13.2" x14ac:dyDescent="0.25">
      <c r="C388" s="5"/>
      <c r="D388" s="5"/>
      <c r="E388" s="5"/>
      <c r="F388" s="5"/>
    </row>
    <row r="389" spans="3:6" ht="13.2" x14ac:dyDescent="0.25">
      <c r="C389" s="5"/>
      <c r="D389" s="5"/>
      <c r="E389" s="5"/>
      <c r="F389" s="5"/>
    </row>
    <row r="390" spans="3:6" ht="13.2" x14ac:dyDescent="0.25">
      <c r="C390" s="5"/>
      <c r="D390" s="5"/>
      <c r="E390" s="5"/>
      <c r="F390" s="5"/>
    </row>
    <row r="391" spans="3:6" ht="13.2" x14ac:dyDescent="0.25">
      <c r="C391" s="5"/>
      <c r="D391" s="5"/>
      <c r="E391" s="5"/>
      <c r="F391" s="5"/>
    </row>
    <row r="392" spans="3:6" ht="13.2" x14ac:dyDescent="0.25">
      <c r="C392" s="5"/>
      <c r="D392" s="5"/>
      <c r="E392" s="5"/>
      <c r="F392" s="5"/>
    </row>
    <row r="393" spans="3:6" ht="13.2" x14ac:dyDescent="0.25">
      <c r="C393" s="5"/>
      <c r="D393" s="5"/>
      <c r="E393" s="5"/>
      <c r="F393" s="5"/>
    </row>
    <row r="394" spans="3:6" ht="13.2" x14ac:dyDescent="0.25">
      <c r="C394" s="5"/>
      <c r="D394" s="5"/>
      <c r="E394" s="5"/>
      <c r="F394" s="5"/>
    </row>
    <row r="395" spans="3:6" ht="13.2" x14ac:dyDescent="0.25">
      <c r="C395" s="5"/>
      <c r="D395" s="5"/>
      <c r="E395" s="5"/>
      <c r="F395" s="5"/>
    </row>
    <row r="396" spans="3:6" ht="13.2" x14ac:dyDescent="0.25">
      <c r="C396" s="5"/>
      <c r="D396" s="5"/>
      <c r="E396" s="5"/>
      <c r="F396" s="5"/>
    </row>
    <row r="397" spans="3:6" ht="13.2" x14ac:dyDescent="0.25">
      <c r="C397" s="5"/>
      <c r="D397" s="5"/>
      <c r="E397" s="5"/>
      <c r="F397" s="5"/>
    </row>
    <row r="398" spans="3:6" ht="13.2" x14ac:dyDescent="0.25">
      <c r="C398" s="5"/>
      <c r="D398" s="5"/>
      <c r="E398" s="5"/>
      <c r="F398" s="5"/>
    </row>
    <row r="399" spans="3:6" ht="13.2" x14ac:dyDescent="0.25">
      <c r="C399" s="5"/>
      <c r="D399" s="5"/>
      <c r="E399" s="5"/>
      <c r="F399" s="5"/>
    </row>
    <row r="400" spans="3:6" ht="13.2" x14ac:dyDescent="0.25">
      <c r="C400" s="5"/>
      <c r="D400" s="5"/>
      <c r="E400" s="5"/>
      <c r="F400" s="5"/>
    </row>
    <row r="401" spans="3:6" ht="13.2" x14ac:dyDescent="0.25">
      <c r="C401" s="5"/>
      <c r="D401" s="5"/>
      <c r="E401" s="5"/>
      <c r="F401" s="5"/>
    </row>
    <row r="402" spans="3:6" ht="13.2" x14ac:dyDescent="0.25">
      <c r="C402" s="5"/>
      <c r="D402" s="5"/>
      <c r="E402" s="5"/>
      <c r="F402" s="5"/>
    </row>
    <row r="403" spans="3:6" ht="13.2" x14ac:dyDescent="0.25">
      <c r="C403" s="5"/>
      <c r="D403" s="5"/>
      <c r="E403" s="5"/>
      <c r="F403" s="5"/>
    </row>
    <row r="404" spans="3:6" ht="13.2" x14ac:dyDescent="0.25">
      <c r="C404" s="5"/>
      <c r="D404" s="5"/>
      <c r="E404" s="5"/>
      <c r="F404" s="5"/>
    </row>
    <row r="405" spans="3:6" ht="13.2" x14ac:dyDescent="0.25">
      <c r="C405" s="5"/>
      <c r="D405" s="5"/>
      <c r="E405" s="5"/>
      <c r="F405" s="5"/>
    </row>
    <row r="406" spans="3:6" ht="13.2" x14ac:dyDescent="0.25">
      <c r="C406" s="5"/>
      <c r="D406" s="5"/>
      <c r="E406" s="5"/>
      <c r="F406" s="5"/>
    </row>
    <row r="407" spans="3:6" ht="13.2" x14ac:dyDescent="0.25">
      <c r="C407" s="5"/>
      <c r="D407" s="5"/>
      <c r="E407" s="5"/>
      <c r="F407" s="5"/>
    </row>
    <row r="408" spans="3:6" ht="13.2" x14ac:dyDescent="0.25">
      <c r="C408" s="5"/>
      <c r="D408" s="5"/>
      <c r="E408" s="5"/>
      <c r="F408" s="5"/>
    </row>
    <row r="409" spans="3:6" ht="13.2" x14ac:dyDescent="0.25">
      <c r="C409" s="5"/>
      <c r="D409" s="5"/>
      <c r="E409" s="5"/>
      <c r="F409" s="5"/>
    </row>
    <row r="410" spans="3:6" ht="13.2" x14ac:dyDescent="0.25">
      <c r="C410" s="5"/>
      <c r="D410" s="5"/>
      <c r="E410" s="5"/>
      <c r="F410" s="5"/>
    </row>
    <row r="411" spans="3:6" ht="13.2" x14ac:dyDescent="0.25">
      <c r="C411" s="5"/>
      <c r="D411" s="5"/>
      <c r="E411" s="5"/>
      <c r="F411" s="5"/>
    </row>
    <row r="412" spans="3:6" ht="13.2" x14ac:dyDescent="0.25">
      <c r="C412" s="5"/>
      <c r="D412" s="5"/>
      <c r="E412" s="5"/>
      <c r="F412" s="5"/>
    </row>
    <row r="413" spans="3:6" ht="13.2" x14ac:dyDescent="0.25">
      <c r="C413" s="5"/>
      <c r="D413" s="5"/>
      <c r="E413" s="5"/>
      <c r="F413" s="5"/>
    </row>
    <row r="414" spans="3:6" ht="13.2" x14ac:dyDescent="0.25">
      <c r="C414" s="5"/>
      <c r="D414" s="5"/>
      <c r="E414" s="5"/>
      <c r="F414" s="5"/>
    </row>
    <row r="415" spans="3:6" ht="13.2" x14ac:dyDescent="0.25">
      <c r="C415" s="5"/>
      <c r="D415" s="5"/>
      <c r="E415" s="5"/>
      <c r="F415" s="5"/>
    </row>
    <row r="416" spans="3:6" ht="13.2" x14ac:dyDescent="0.25">
      <c r="C416" s="5"/>
      <c r="D416" s="5"/>
      <c r="E416" s="5"/>
      <c r="F416" s="5"/>
    </row>
    <row r="417" spans="3:6" ht="13.2" x14ac:dyDescent="0.25">
      <c r="C417" s="5"/>
      <c r="D417" s="5"/>
      <c r="E417" s="5"/>
      <c r="F417" s="5"/>
    </row>
    <row r="418" spans="3:6" ht="13.2" x14ac:dyDescent="0.25">
      <c r="C418" s="5"/>
      <c r="D418" s="5"/>
      <c r="E418" s="5"/>
      <c r="F418" s="5"/>
    </row>
    <row r="419" spans="3:6" ht="13.2" x14ac:dyDescent="0.25">
      <c r="C419" s="5"/>
      <c r="D419" s="5"/>
      <c r="E419" s="5"/>
      <c r="F419" s="5"/>
    </row>
    <row r="420" spans="3:6" ht="13.2" x14ac:dyDescent="0.25">
      <c r="C420" s="5"/>
      <c r="D420" s="5"/>
      <c r="E420" s="5"/>
      <c r="F420" s="5"/>
    </row>
    <row r="421" spans="3:6" ht="13.2" x14ac:dyDescent="0.25">
      <c r="C421" s="5"/>
      <c r="D421" s="5"/>
      <c r="E421" s="5"/>
      <c r="F421" s="5"/>
    </row>
    <row r="422" spans="3:6" ht="13.2" x14ac:dyDescent="0.25">
      <c r="C422" s="5"/>
      <c r="D422" s="5"/>
      <c r="E422" s="5"/>
      <c r="F422" s="5"/>
    </row>
    <row r="423" spans="3:6" ht="13.2" x14ac:dyDescent="0.25">
      <c r="C423" s="5"/>
      <c r="D423" s="5"/>
      <c r="E423" s="5"/>
      <c r="F423" s="5"/>
    </row>
    <row r="424" spans="3:6" ht="13.2" x14ac:dyDescent="0.25">
      <c r="C424" s="5"/>
      <c r="D424" s="5"/>
      <c r="E424" s="5"/>
      <c r="F424" s="5"/>
    </row>
    <row r="425" spans="3:6" ht="13.2" x14ac:dyDescent="0.25">
      <c r="C425" s="5"/>
      <c r="D425" s="5"/>
      <c r="E425" s="5"/>
      <c r="F425" s="5"/>
    </row>
    <row r="426" spans="3:6" ht="13.2" x14ac:dyDescent="0.25">
      <c r="C426" s="5"/>
      <c r="D426" s="5"/>
      <c r="E426" s="5"/>
      <c r="F426" s="5"/>
    </row>
    <row r="427" spans="3:6" ht="13.2" x14ac:dyDescent="0.25">
      <c r="C427" s="5"/>
      <c r="D427" s="5"/>
      <c r="E427" s="5"/>
      <c r="F427" s="5"/>
    </row>
    <row r="428" spans="3:6" ht="13.2" x14ac:dyDescent="0.25">
      <c r="C428" s="5"/>
      <c r="D428" s="5"/>
      <c r="E428" s="5"/>
      <c r="F428" s="5"/>
    </row>
    <row r="429" spans="3:6" ht="13.2" x14ac:dyDescent="0.25">
      <c r="C429" s="5"/>
      <c r="D429" s="5"/>
      <c r="E429" s="5"/>
      <c r="F429" s="5"/>
    </row>
    <row r="430" spans="3:6" ht="13.2" x14ac:dyDescent="0.25">
      <c r="C430" s="5"/>
      <c r="D430" s="5"/>
      <c r="E430" s="5"/>
      <c r="F430" s="5"/>
    </row>
    <row r="431" spans="3:6" ht="13.2" x14ac:dyDescent="0.25">
      <c r="C431" s="5"/>
      <c r="D431" s="5"/>
      <c r="E431" s="5"/>
      <c r="F431" s="5"/>
    </row>
    <row r="432" spans="3:6" ht="13.2" x14ac:dyDescent="0.25">
      <c r="C432" s="5"/>
      <c r="D432" s="5"/>
      <c r="E432" s="5"/>
      <c r="F432" s="5"/>
    </row>
    <row r="433" spans="3:6" ht="13.2" x14ac:dyDescent="0.25">
      <c r="C433" s="5"/>
      <c r="D433" s="5"/>
      <c r="E433" s="5"/>
      <c r="F433" s="5"/>
    </row>
    <row r="434" spans="3:6" ht="13.2" x14ac:dyDescent="0.25">
      <c r="C434" s="5"/>
      <c r="D434" s="5"/>
      <c r="E434" s="5"/>
      <c r="F434" s="5"/>
    </row>
    <row r="435" spans="3:6" ht="13.2" x14ac:dyDescent="0.25">
      <c r="C435" s="5"/>
      <c r="D435" s="5"/>
      <c r="E435" s="5"/>
      <c r="F435" s="5"/>
    </row>
    <row r="436" spans="3:6" ht="13.2" x14ac:dyDescent="0.25">
      <c r="C436" s="5"/>
      <c r="D436" s="5"/>
      <c r="E436" s="5"/>
      <c r="F436" s="5"/>
    </row>
    <row r="437" spans="3:6" ht="13.2" x14ac:dyDescent="0.25">
      <c r="C437" s="5"/>
      <c r="D437" s="5"/>
      <c r="E437" s="5"/>
      <c r="F437" s="5"/>
    </row>
    <row r="438" spans="3:6" ht="13.2" x14ac:dyDescent="0.25">
      <c r="C438" s="5"/>
      <c r="D438" s="5"/>
      <c r="E438" s="5"/>
      <c r="F438" s="5"/>
    </row>
    <row r="439" spans="3:6" ht="13.2" x14ac:dyDescent="0.25">
      <c r="C439" s="5"/>
      <c r="D439" s="5"/>
      <c r="E439" s="5"/>
      <c r="F439" s="5"/>
    </row>
    <row r="440" spans="3:6" ht="13.2" x14ac:dyDescent="0.25">
      <c r="C440" s="5"/>
      <c r="D440" s="5"/>
      <c r="E440" s="5"/>
      <c r="F440" s="5"/>
    </row>
    <row r="441" spans="3:6" ht="13.2" x14ac:dyDescent="0.25">
      <c r="C441" s="5"/>
      <c r="D441" s="5"/>
      <c r="E441" s="5"/>
      <c r="F441" s="5"/>
    </row>
    <row r="442" spans="3:6" ht="13.2" x14ac:dyDescent="0.25">
      <c r="C442" s="5"/>
      <c r="D442" s="5"/>
      <c r="E442" s="5"/>
      <c r="F442" s="5"/>
    </row>
    <row r="443" spans="3:6" ht="13.2" x14ac:dyDescent="0.25">
      <c r="C443" s="5"/>
      <c r="D443" s="5"/>
      <c r="E443" s="5"/>
      <c r="F443" s="5"/>
    </row>
    <row r="444" spans="3:6" ht="13.2" x14ac:dyDescent="0.25">
      <c r="C444" s="5"/>
      <c r="D444" s="5"/>
      <c r="E444" s="5"/>
      <c r="F444" s="5"/>
    </row>
    <row r="445" spans="3:6" ht="13.2" x14ac:dyDescent="0.25">
      <c r="C445" s="5"/>
      <c r="D445" s="5"/>
      <c r="E445" s="5"/>
      <c r="F445" s="5"/>
    </row>
    <row r="446" spans="3:6" ht="13.2" x14ac:dyDescent="0.25">
      <c r="C446" s="5"/>
      <c r="D446" s="5"/>
      <c r="E446" s="5"/>
      <c r="F446" s="5"/>
    </row>
    <row r="447" spans="3:6" ht="13.2" x14ac:dyDescent="0.25">
      <c r="C447" s="5"/>
      <c r="D447" s="5"/>
      <c r="E447" s="5"/>
      <c r="F447" s="5"/>
    </row>
    <row r="448" spans="3:6" ht="13.2" x14ac:dyDescent="0.25">
      <c r="C448" s="5"/>
      <c r="D448" s="5"/>
      <c r="E448" s="5"/>
      <c r="F448" s="5"/>
    </row>
    <row r="449" spans="3:6" ht="13.2" x14ac:dyDescent="0.25">
      <c r="C449" s="5"/>
      <c r="D449" s="5"/>
      <c r="E449" s="5"/>
      <c r="F449" s="5"/>
    </row>
    <row r="450" spans="3:6" ht="13.2" x14ac:dyDescent="0.25">
      <c r="C450" s="5"/>
      <c r="D450" s="5"/>
      <c r="E450" s="5"/>
      <c r="F450" s="5"/>
    </row>
    <row r="451" spans="3:6" ht="13.2" x14ac:dyDescent="0.25">
      <c r="C451" s="5"/>
      <c r="D451" s="5"/>
      <c r="E451" s="5"/>
      <c r="F451" s="5"/>
    </row>
    <row r="452" spans="3:6" ht="13.2" x14ac:dyDescent="0.25">
      <c r="C452" s="5"/>
      <c r="D452" s="5"/>
      <c r="E452" s="5"/>
      <c r="F452" s="5"/>
    </row>
    <row r="453" spans="3:6" ht="13.2" x14ac:dyDescent="0.25">
      <c r="C453" s="5"/>
      <c r="D453" s="5"/>
      <c r="E453" s="5"/>
      <c r="F453" s="5"/>
    </row>
    <row r="454" spans="3:6" ht="13.2" x14ac:dyDescent="0.25">
      <c r="C454" s="5"/>
      <c r="D454" s="5"/>
      <c r="E454" s="5"/>
      <c r="F454" s="5"/>
    </row>
    <row r="455" spans="3:6" ht="13.2" x14ac:dyDescent="0.25">
      <c r="C455" s="5"/>
      <c r="D455" s="5"/>
      <c r="E455" s="5"/>
      <c r="F455" s="5"/>
    </row>
    <row r="456" spans="3:6" ht="13.2" x14ac:dyDescent="0.25">
      <c r="C456" s="5"/>
      <c r="D456" s="5"/>
      <c r="E456" s="5"/>
      <c r="F456" s="5"/>
    </row>
    <row r="457" spans="3:6" ht="13.2" x14ac:dyDescent="0.25">
      <c r="C457" s="5"/>
      <c r="D457" s="5"/>
      <c r="E457" s="5"/>
      <c r="F457" s="5"/>
    </row>
    <row r="458" spans="3:6" ht="13.2" x14ac:dyDescent="0.25">
      <c r="C458" s="5"/>
      <c r="D458" s="5"/>
      <c r="E458" s="5"/>
      <c r="F458" s="5"/>
    </row>
    <row r="459" spans="3:6" ht="13.2" x14ac:dyDescent="0.25">
      <c r="C459" s="5"/>
      <c r="D459" s="5"/>
      <c r="E459" s="5"/>
      <c r="F459" s="5"/>
    </row>
    <row r="460" spans="3:6" ht="13.2" x14ac:dyDescent="0.25">
      <c r="C460" s="5"/>
      <c r="D460" s="5"/>
      <c r="E460" s="5"/>
      <c r="F460" s="5"/>
    </row>
    <row r="461" spans="3:6" ht="13.2" x14ac:dyDescent="0.25">
      <c r="C461" s="5"/>
      <c r="D461" s="5"/>
      <c r="E461" s="5"/>
      <c r="F461" s="5"/>
    </row>
    <row r="462" spans="3:6" ht="13.2" x14ac:dyDescent="0.25">
      <c r="C462" s="5"/>
      <c r="D462" s="5"/>
      <c r="E462" s="5"/>
      <c r="F462" s="5"/>
    </row>
    <row r="463" spans="3:6" ht="13.2" x14ac:dyDescent="0.25">
      <c r="C463" s="5"/>
      <c r="D463" s="5"/>
      <c r="E463" s="5"/>
      <c r="F463" s="5"/>
    </row>
    <row r="464" spans="3:6" ht="13.2" x14ac:dyDescent="0.25">
      <c r="C464" s="5"/>
      <c r="D464" s="5"/>
      <c r="E464" s="5"/>
      <c r="F464" s="5"/>
    </row>
    <row r="465" spans="3:6" ht="13.2" x14ac:dyDescent="0.25">
      <c r="C465" s="5"/>
      <c r="D465" s="5"/>
      <c r="E465" s="5"/>
      <c r="F465" s="5"/>
    </row>
    <row r="466" spans="3:6" ht="13.2" x14ac:dyDescent="0.25">
      <c r="C466" s="5"/>
      <c r="D466" s="5"/>
      <c r="E466" s="5"/>
      <c r="F466" s="5"/>
    </row>
    <row r="467" spans="3:6" ht="13.2" x14ac:dyDescent="0.25">
      <c r="C467" s="5"/>
      <c r="D467" s="5"/>
      <c r="E467" s="5"/>
      <c r="F467" s="5"/>
    </row>
    <row r="468" spans="3:6" ht="13.2" x14ac:dyDescent="0.25">
      <c r="C468" s="5"/>
      <c r="D468" s="5"/>
      <c r="E468" s="5"/>
      <c r="F468" s="5"/>
    </row>
    <row r="469" spans="3:6" ht="13.2" x14ac:dyDescent="0.25">
      <c r="C469" s="5"/>
      <c r="D469" s="5"/>
      <c r="E469" s="5"/>
      <c r="F469" s="5"/>
    </row>
    <row r="470" spans="3:6" ht="13.2" x14ac:dyDescent="0.25">
      <c r="C470" s="5"/>
      <c r="D470" s="5"/>
      <c r="E470" s="5"/>
      <c r="F470" s="5"/>
    </row>
    <row r="471" spans="3:6" ht="13.2" x14ac:dyDescent="0.25">
      <c r="C471" s="5"/>
      <c r="D471" s="5"/>
      <c r="E471" s="5"/>
      <c r="F471" s="5"/>
    </row>
    <row r="472" spans="3:6" ht="13.2" x14ac:dyDescent="0.25">
      <c r="C472" s="5"/>
      <c r="D472" s="5"/>
      <c r="E472" s="5"/>
      <c r="F472" s="5"/>
    </row>
    <row r="473" spans="3:6" ht="13.2" x14ac:dyDescent="0.25">
      <c r="C473" s="5"/>
      <c r="D473" s="5"/>
      <c r="E473" s="5"/>
      <c r="F473" s="5"/>
    </row>
    <row r="474" spans="3:6" ht="13.2" x14ac:dyDescent="0.25">
      <c r="C474" s="5"/>
      <c r="D474" s="5"/>
      <c r="E474" s="5"/>
      <c r="F474" s="5"/>
    </row>
    <row r="475" spans="3:6" ht="13.2" x14ac:dyDescent="0.25">
      <c r="C475" s="5"/>
      <c r="D475" s="5"/>
      <c r="E475" s="5"/>
      <c r="F475" s="5"/>
    </row>
    <row r="476" spans="3:6" ht="13.2" x14ac:dyDescent="0.25">
      <c r="C476" s="5"/>
      <c r="D476" s="5"/>
      <c r="E476" s="5"/>
      <c r="F476" s="5"/>
    </row>
    <row r="477" spans="3:6" ht="13.2" x14ac:dyDescent="0.25">
      <c r="C477" s="5"/>
      <c r="D477" s="5"/>
      <c r="E477" s="5"/>
      <c r="F477" s="5"/>
    </row>
    <row r="478" spans="3:6" ht="13.2" x14ac:dyDescent="0.25">
      <c r="C478" s="5"/>
      <c r="D478" s="5"/>
      <c r="E478" s="5"/>
      <c r="F478" s="5"/>
    </row>
    <row r="479" spans="3:6" ht="13.2" x14ac:dyDescent="0.25">
      <c r="C479" s="5"/>
      <c r="D479" s="5"/>
      <c r="E479" s="5"/>
      <c r="F479" s="5"/>
    </row>
    <row r="480" spans="3:6" ht="13.2" x14ac:dyDescent="0.25">
      <c r="C480" s="5"/>
      <c r="D480" s="5"/>
      <c r="E480" s="5"/>
      <c r="F480" s="5"/>
    </row>
    <row r="481" spans="3:6" ht="13.2" x14ac:dyDescent="0.25">
      <c r="C481" s="5"/>
      <c r="D481" s="5"/>
      <c r="E481" s="5"/>
      <c r="F481" s="5"/>
    </row>
    <row r="482" spans="3:6" ht="13.2" x14ac:dyDescent="0.25">
      <c r="C482" s="5"/>
      <c r="D482" s="5"/>
      <c r="E482" s="5"/>
      <c r="F482" s="5"/>
    </row>
    <row r="483" spans="3:6" ht="13.2" x14ac:dyDescent="0.25">
      <c r="C483" s="5"/>
      <c r="D483" s="5"/>
      <c r="E483" s="5"/>
      <c r="F483" s="5"/>
    </row>
    <row r="484" spans="3:6" ht="13.2" x14ac:dyDescent="0.25">
      <c r="C484" s="5"/>
      <c r="D484" s="5"/>
      <c r="E484" s="5"/>
      <c r="F484" s="5"/>
    </row>
    <row r="485" spans="3:6" ht="13.2" x14ac:dyDescent="0.25">
      <c r="C485" s="5"/>
      <c r="D485" s="5"/>
      <c r="E485" s="5"/>
      <c r="F485" s="5"/>
    </row>
    <row r="486" spans="3:6" ht="13.2" x14ac:dyDescent="0.25">
      <c r="C486" s="5"/>
      <c r="D486" s="5"/>
      <c r="E486" s="5"/>
      <c r="F486" s="5"/>
    </row>
    <row r="487" spans="3:6" ht="13.2" x14ac:dyDescent="0.25">
      <c r="C487" s="5"/>
      <c r="D487" s="5"/>
      <c r="E487" s="5"/>
      <c r="F487" s="5"/>
    </row>
    <row r="488" spans="3:6" ht="13.2" x14ac:dyDescent="0.25">
      <c r="C488" s="5"/>
      <c r="D488" s="5"/>
      <c r="E488" s="5"/>
      <c r="F488" s="5"/>
    </row>
    <row r="489" spans="3:6" ht="13.2" x14ac:dyDescent="0.25">
      <c r="C489" s="5"/>
      <c r="D489" s="5"/>
      <c r="E489" s="5"/>
      <c r="F489" s="5"/>
    </row>
    <row r="490" spans="3:6" ht="13.2" x14ac:dyDescent="0.25">
      <c r="C490" s="5"/>
      <c r="D490" s="5"/>
      <c r="E490" s="5"/>
      <c r="F490" s="5"/>
    </row>
    <row r="491" spans="3:6" ht="13.2" x14ac:dyDescent="0.25">
      <c r="C491" s="5"/>
      <c r="D491" s="5"/>
      <c r="E491" s="5"/>
      <c r="F491" s="5"/>
    </row>
    <row r="492" spans="3:6" ht="13.2" x14ac:dyDescent="0.25">
      <c r="C492" s="5"/>
      <c r="D492" s="5"/>
      <c r="E492" s="5"/>
      <c r="F492" s="5"/>
    </row>
    <row r="493" spans="3:6" ht="13.2" x14ac:dyDescent="0.25">
      <c r="C493" s="5"/>
      <c r="D493" s="5"/>
      <c r="E493" s="5"/>
      <c r="F493" s="5"/>
    </row>
    <row r="494" spans="3:6" ht="13.2" x14ac:dyDescent="0.25">
      <c r="C494" s="5"/>
      <c r="D494" s="5"/>
      <c r="E494" s="5"/>
      <c r="F494" s="5"/>
    </row>
    <row r="495" spans="3:6" ht="13.2" x14ac:dyDescent="0.25">
      <c r="C495" s="5"/>
      <c r="D495" s="5"/>
      <c r="E495" s="5"/>
      <c r="F495" s="5"/>
    </row>
    <row r="496" spans="3:6" ht="13.2" x14ac:dyDescent="0.25">
      <c r="C496" s="5"/>
      <c r="D496" s="5"/>
      <c r="E496" s="5"/>
      <c r="F496" s="5"/>
    </row>
    <row r="497" spans="3:6" ht="13.2" x14ac:dyDescent="0.25">
      <c r="C497" s="5"/>
      <c r="D497" s="5"/>
      <c r="E497" s="5"/>
      <c r="F497" s="5"/>
    </row>
    <row r="498" spans="3:6" ht="13.2" x14ac:dyDescent="0.25">
      <c r="C498" s="5"/>
      <c r="D498" s="5"/>
      <c r="E498" s="5"/>
      <c r="F498" s="5"/>
    </row>
    <row r="499" spans="3:6" ht="13.2" x14ac:dyDescent="0.25">
      <c r="C499" s="5"/>
      <c r="D499" s="5"/>
      <c r="E499" s="5"/>
      <c r="F499" s="5"/>
    </row>
    <row r="500" spans="3:6" ht="13.2" x14ac:dyDescent="0.25">
      <c r="C500" s="5"/>
      <c r="D500" s="5"/>
      <c r="E500" s="5"/>
      <c r="F500" s="5"/>
    </row>
    <row r="501" spans="3:6" ht="13.2" x14ac:dyDescent="0.25">
      <c r="C501" s="5"/>
      <c r="D501" s="5"/>
      <c r="E501" s="5"/>
      <c r="F501" s="5"/>
    </row>
    <row r="502" spans="3:6" ht="13.2" x14ac:dyDescent="0.25">
      <c r="C502" s="5"/>
      <c r="D502" s="5"/>
      <c r="E502" s="5"/>
      <c r="F502" s="5"/>
    </row>
    <row r="503" spans="3:6" ht="13.2" x14ac:dyDescent="0.25">
      <c r="C503" s="5"/>
      <c r="D503" s="5"/>
      <c r="E503" s="5"/>
      <c r="F503" s="5"/>
    </row>
    <row r="504" spans="3:6" ht="13.2" x14ac:dyDescent="0.25">
      <c r="C504" s="5"/>
      <c r="D504" s="5"/>
      <c r="E504" s="5"/>
      <c r="F504" s="5"/>
    </row>
    <row r="505" spans="3:6" ht="13.2" x14ac:dyDescent="0.25">
      <c r="C505" s="5"/>
      <c r="D505" s="5"/>
      <c r="E505" s="5"/>
      <c r="F505" s="5"/>
    </row>
    <row r="506" spans="3:6" ht="13.2" x14ac:dyDescent="0.25">
      <c r="C506" s="5"/>
      <c r="D506" s="5"/>
      <c r="E506" s="5"/>
      <c r="F506" s="5"/>
    </row>
    <row r="507" spans="3:6" ht="13.2" x14ac:dyDescent="0.25">
      <c r="C507" s="5"/>
      <c r="D507" s="5"/>
      <c r="E507" s="5"/>
      <c r="F507" s="5"/>
    </row>
    <row r="508" spans="3:6" ht="13.2" x14ac:dyDescent="0.25">
      <c r="C508" s="5"/>
      <c r="D508" s="5"/>
      <c r="E508" s="5"/>
      <c r="F508" s="5"/>
    </row>
    <row r="509" spans="3:6" ht="13.2" x14ac:dyDescent="0.25">
      <c r="C509" s="5"/>
      <c r="D509" s="5"/>
      <c r="E509" s="5"/>
      <c r="F509" s="5"/>
    </row>
    <row r="510" spans="3:6" ht="13.2" x14ac:dyDescent="0.25">
      <c r="C510" s="5"/>
      <c r="D510" s="5"/>
      <c r="E510" s="5"/>
      <c r="F510" s="5"/>
    </row>
    <row r="511" spans="3:6" ht="13.2" x14ac:dyDescent="0.25">
      <c r="C511" s="5"/>
      <c r="D511" s="5"/>
      <c r="E511" s="5"/>
      <c r="F511" s="5"/>
    </row>
    <row r="512" spans="3:6" ht="13.2" x14ac:dyDescent="0.25">
      <c r="C512" s="5"/>
      <c r="D512" s="5"/>
      <c r="E512" s="5"/>
      <c r="F512" s="5"/>
    </row>
    <row r="513" spans="3:6" ht="13.2" x14ac:dyDescent="0.25">
      <c r="C513" s="5"/>
      <c r="D513" s="5"/>
      <c r="E513" s="5"/>
      <c r="F513" s="5"/>
    </row>
    <row r="514" spans="3:6" ht="13.2" x14ac:dyDescent="0.25">
      <c r="C514" s="5"/>
      <c r="D514" s="5"/>
      <c r="E514" s="5"/>
      <c r="F514" s="5"/>
    </row>
    <row r="515" spans="3:6" ht="13.2" x14ac:dyDescent="0.25">
      <c r="C515" s="5"/>
      <c r="D515" s="5"/>
      <c r="E515" s="5"/>
      <c r="F515" s="5"/>
    </row>
    <row r="516" spans="3:6" ht="13.2" x14ac:dyDescent="0.25">
      <c r="C516" s="5"/>
      <c r="D516" s="5"/>
      <c r="E516" s="5"/>
      <c r="F516" s="5"/>
    </row>
    <row r="517" spans="3:6" ht="13.2" x14ac:dyDescent="0.25">
      <c r="C517" s="5"/>
      <c r="D517" s="5"/>
      <c r="E517" s="5"/>
      <c r="F517" s="5"/>
    </row>
    <row r="518" spans="3:6" ht="13.2" x14ac:dyDescent="0.25">
      <c r="C518" s="5"/>
      <c r="D518" s="5"/>
      <c r="E518" s="5"/>
      <c r="F518" s="5"/>
    </row>
    <row r="519" spans="3:6" ht="13.2" x14ac:dyDescent="0.25">
      <c r="C519" s="5"/>
      <c r="D519" s="5"/>
      <c r="E519" s="5"/>
      <c r="F519" s="5"/>
    </row>
    <row r="520" spans="3:6" ht="13.2" x14ac:dyDescent="0.25">
      <c r="C520" s="5"/>
      <c r="D520" s="5"/>
      <c r="E520" s="5"/>
      <c r="F520" s="5"/>
    </row>
    <row r="521" spans="3:6" ht="13.2" x14ac:dyDescent="0.25">
      <c r="C521" s="5"/>
      <c r="D521" s="5"/>
      <c r="E521" s="5"/>
      <c r="F521" s="5"/>
    </row>
    <row r="522" spans="3:6" ht="13.2" x14ac:dyDescent="0.25">
      <c r="C522" s="5"/>
      <c r="D522" s="5"/>
      <c r="E522" s="5"/>
      <c r="F522" s="5"/>
    </row>
    <row r="523" spans="3:6" ht="13.2" x14ac:dyDescent="0.25">
      <c r="C523" s="5"/>
      <c r="D523" s="5"/>
      <c r="E523" s="5"/>
      <c r="F523" s="5"/>
    </row>
    <row r="524" spans="3:6" ht="13.2" x14ac:dyDescent="0.25">
      <c r="C524" s="5"/>
      <c r="D524" s="5"/>
      <c r="E524" s="5"/>
      <c r="F524" s="5"/>
    </row>
    <row r="525" spans="3:6" ht="13.2" x14ac:dyDescent="0.25">
      <c r="C525" s="5"/>
      <c r="D525" s="5"/>
      <c r="E525" s="5"/>
      <c r="F525" s="5"/>
    </row>
    <row r="526" spans="3:6" ht="13.2" x14ac:dyDescent="0.25">
      <c r="C526" s="5"/>
      <c r="D526" s="5"/>
      <c r="E526" s="5"/>
      <c r="F526" s="5"/>
    </row>
    <row r="527" spans="3:6" ht="13.2" x14ac:dyDescent="0.25">
      <c r="C527" s="5"/>
      <c r="D527" s="5"/>
      <c r="E527" s="5"/>
      <c r="F527" s="5"/>
    </row>
    <row r="528" spans="3:6" ht="13.2" x14ac:dyDescent="0.25">
      <c r="C528" s="5"/>
      <c r="D528" s="5"/>
      <c r="E528" s="5"/>
      <c r="F528" s="5"/>
    </row>
    <row r="529" spans="3:6" ht="13.2" x14ac:dyDescent="0.25">
      <c r="C529" s="5"/>
      <c r="D529" s="5"/>
      <c r="E529" s="5"/>
      <c r="F529" s="5"/>
    </row>
    <row r="530" spans="3:6" ht="13.2" x14ac:dyDescent="0.25">
      <c r="C530" s="5"/>
      <c r="D530" s="5"/>
      <c r="E530" s="5"/>
      <c r="F530" s="5"/>
    </row>
    <row r="531" spans="3:6" ht="13.2" x14ac:dyDescent="0.25">
      <c r="C531" s="5"/>
      <c r="D531" s="5"/>
      <c r="E531" s="5"/>
      <c r="F531" s="5"/>
    </row>
    <row r="532" spans="3:6" ht="13.2" x14ac:dyDescent="0.25">
      <c r="C532" s="5"/>
      <c r="D532" s="5"/>
      <c r="E532" s="5"/>
      <c r="F532" s="5"/>
    </row>
    <row r="533" spans="3:6" ht="13.2" x14ac:dyDescent="0.25">
      <c r="C533" s="5"/>
      <c r="D533" s="5"/>
      <c r="E533" s="5"/>
      <c r="F533" s="5"/>
    </row>
    <row r="534" spans="3:6" ht="13.2" x14ac:dyDescent="0.25">
      <c r="C534" s="5"/>
      <c r="D534" s="5"/>
      <c r="E534" s="5"/>
      <c r="F534" s="5"/>
    </row>
    <row r="535" spans="3:6" ht="13.2" x14ac:dyDescent="0.25">
      <c r="C535" s="5"/>
      <c r="D535" s="5"/>
      <c r="E535" s="5"/>
      <c r="F535" s="5"/>
    </row>
    <row r="536" spans="3:6" ht="13.2" x14ac:dyDescent="0.25">
      <c r="C536" s="5"/>
      <c r="D536" s="5"/>
      <c r="E536" s="5"/>
      <c r="F536" s="5"/>
    </row>
    <row r="537" spans="3:6" ht="13.2" x14ac:dyDescent="0.25">
      <c r="C537" s="5"/>
      <c r="D537" s="5"/>
      <c r="E537" s="5"/>
      <c r="F537" s="5"/>
    </row>
    <row r="538" spans="3:6" ht="13.2" x14ac:dyDescent="0.25">
      <c r="C538" s="5"/>
      <c r="D538" s="5"/>
      <c r="E538" s="5"/>
      <c r="F538" s="5"/>
    </row>
    <row r="539" spans="3:6" ht="13.2" x14ac:dyDescent="0.25">
      <c r="C539" s="5"/>
      <c r="D539" s="5"/>
      <c r="E539" s="5"/>
      <c r="F539" s="5"/>
    </row>
    <row r="540" spans="3:6" ht="13.2" x14ac:dyDescent="0.25">
      <c r="C540" s="5"/>
      <c r="D540" s="5"/>
      <c r="E540" s="5"/>
      <c r="F540" s="5"/>
    </row>
    <row r="541" spans="3:6" ht="13.2" x14ac:dyDescent="0.25">
      <c r="C541" s="5"/>
      <c r="D541" s="5"/>
      <c r="E541" s="5"/>
      <c r="F541" s="5"/>
    </row>
    <row r="542" spans="3:6" ht="13.2" x14ac:dyDescent="0.25">
      <c r="C542" s="5"/>
      <c r="D542" s="5"/>
      <c r="E542" s="5"/>
      <c r="F542" s="5"/>
    </row>
    <row r="543" spans="3:6" ht="13.2" x14ac:dyDescent="0.25">
      <c r="C543" s="5"/>
      <c r="D543" s="5"/>
      <c r="E543" s="5"/>
      <c r="F543" s="5"/>
    </row>
    <row r="544" spans="3:6" ht="13.2" x14ac:dyDescent="0.25">
      <c r="C544" s="5"/>
      <c r="D544" s="5"/>
      <c r="E544" s="5"/>
      <c r="F544" s="5"/>
    </row>
    <row r="545" spans="3:6" ht="13.2" x14ac:dyDescent="0.25">
      <c r="C545" s="5"/>
      <c r="D545" s="5"/>
      <c r="E545" s="5"/>
      <c r="F545" s="5"/>
    </row>
    <row r="546" spans="3:6" ht="13.2" x14ac:dyDescent="0.25">
      <c r="C546" s="5"/>
      <c r="D546" s="5"/>
      <c r="E546" s="5"/>
      <c r="F546" s="5"/>
    </row>
    <row r="547" spans="3:6" ht="13.2" x14ac:dyDescent="0.25">
      <c r="C547" s="5"/>
      <c r="D547" s="5"/>
      <c r="E547" s="5"/>
      <c r="F547" s="5"/>
    </row>
    <row r="548" spans="3:6" ht="13.2" x14ac:dyDescent="0.25">
      <c r="C548" s="5"/>
      <c r="D548" s="5"/>
      <c r="E548" s="5"/>
      <c r="F548" s="5"/>
    </row>
    <row r="549" spans="3:6" ht="13.2" x14ac:dyDescent="0.25">
      <c r="C549" s="5"/>
      <c r="D549" s="5"/>
      <c r="E549" s="5"/>
      <c r="F549" s="5"/>
    </row>
    <row r="550" spans="3:6" ht="13.2" x14ac:dyDescent="0.25">
      <c r="C550" s="5"/>
      <c r="D550" s="5"/>
      <c r="E550" s="5"/>
      <c r="F550" s="5"/>
    </row>
    <row r="551" spans="3:6" ht="13.2" x14ac:dyDescent="0.25">
      <c r="C551" s="5"/>
      <c r="D551" s="5"/>
      <c r="E551" s="5"/>
      <c r="F551" s="5"/>
    </row>
    <row r="552" spans="3:6" ht="13.2" x14ac:dyDescent="0.25">
      <c r="C552" s="5"/>
      <c r="D552" s="5"/>
      <c r="E552" s="5"/>
      <c r="F552" s="5"/>
    </row>
    <row r="553" spans="3:6" ht="13.2" x14ac:dyDescent="0.25">
      <c r="C553" s="5"/>
      <c r="D553" s="5"/>
      <c r="E553" s="5"/>
      <c r="F553" s="5"/>
    </row>
    <row r="554" spans="3:6" ht="13.2" x14ac:dyDescent="0.25">
      <c r="C554" s="5"/>
      <c r="D554" s="5"/>
      <c r="E554" s="5"/>
      <c r="F554" s="5"/>
    </row>
    <row r="555" spans="3:6" ht="13.2" x14ac:dyDescent="0.25">
      <c r="C555" s="5"/>
      <c r="D555" s="5"/>
      <c r="E555" s="5"/>
      <c r="F555" s="5"/>
    </row>
    <row r="556" spans="3:6" ht="13.2" x14ac:dyDescent="0.25">
      <c r="C556" s="5"/>
      <c r="D556" s="5"/>
      <c r="E556" s="5"/>
      <c r="F556" s="5"/>
    </row>
    <row r="557" spans="3:6" ht="13.2" x14ac:dyDescent="0.25">
      <c r="C557" s="5"/>
      <c r="D557" s="5"/>
      <c r="E557" s="5"/>
      <c r="F557" s="5"/>
    </row>
    <row r="558" spans="3:6" ht="13.2" x14ac:dyDescent="0.25">
      <c r="C558" s="5"/>
      <c r="D558" s="5"/>
      <c r="E558" s="5"/>
      <c r="F558" s="5"/>
    </row>
    <row r="559" spans="3:6" ht="13.2" x14ac:dyDescent="0.25">
      <c r="C559" s="5"/>
      <c r="D559" s="5"/>
      <c r="E559" s="5"/>
      <c r="F559" s="5"/>
    </row>
    <row r="560" spans="3:6" ht="13.2" x14ac:dyDescent="0.25">
      <c r="C560" s="5"/>
      <c r="D560" s="5"/>
      <c r="E560" s="5"/>
      <c r="F560" s="5"/>
    </row>
    <row r="561" spans="3:6" ht="13.2" x14ac:dyDescent="0.25">
      <c r="C561" s="5"/>
      <c r="D561" s="5"/>
      <c r="E561" s="5"/>
      <c r="F561" s="5"/>
    </row>
    <row r="562" spans="3:6" ht="13.2" x14ac:dyDescent="0.25">
      <c r="C562" s="5"/>
      <c r="D562" s="5"/>
      <c r="E562" s="5"/>
      <c r="F562" s="5"/>
    </row>
    <row r="563" spans="3:6" ht="13.2" x14ac:dyDescent="0.25">
      <c r="C563" s="5"/>
      <c r="D563" s="5"/>
      <c r="E563" s="5"/>
      <c r="F563" s="5"/>
    </row>
    <row r="564" spans="3:6" ht="13.2" x14ac:dyDescent="0.25">
      <c r="C564" s="5"/>
      <c r="D564" s="5"/>
      <c r="E564" s="5"/>
      <c r="F564" s="5"/>
    </row>
    <row r="565" spans="3:6" ht="13.2" x14ac:dyDescent="0.25">
      <c r="C565" s="5"/>
      <c r="D565" s="5"/>
      <c r="E565" s="5"/>
      <c r="F565" s="5"/>
    </row>
    <row r="566" spans="3:6" ht="13.2" x14ac:dyDescent="0.25">
      <c r="C566" s="5"/>
      <c r="D566" s="5"/>
      <c r="E566" s="5"/>
      <c r="F566" s="5"/>
    </row>
    <row r="567" spans="3:6" ht="13.2" x14ac:dyDescent="0.25">
      <c r="C567" s="5"/>
      <c r="D567" s="5"/>
      <c r="E567" s="5"/>
      <c r="F567" s="5"/>
    </row>
    <row r="568" spans="3:6" ht="13.2" x14ac:dyDescent="0.25">
      <c r="C568" s="5"/>
      <c r="D568" s="5"/>
      <c r="E568" s="5"/>
      <c r="F568" s="5"/>
    </row>
    <row r="569" spans="3:6" ht="13.2" x14ac:dyDescent="0.25">
      <c r="C569" s="5"/>
      <c r="D569" s="5"/>
      <c r="E569" s="5"/>
      <c r="F569" s="5"/>
    </row>
    <row r="570" spans="3:6" ht="13.2" x14ac:dyDescent="0.25">
      <c r="C570" s="5"/>
      <c r="D570" s="5"/>
      <c r="E570" s="5"/>
      <c r="F570" s="5"/>
    </row>
    <row r="571" spans="3:6" ht="13.2" x14ac:dyDescent="0.25">
      <c r="C571" s="5"/>
      <c r="D571" s="5"/>
      <c r="E571" s="5"/>
      <c r="F571" s="5"/>
    </row>
    <row r="572" spans="3:6" ht="13.2" x14ac:dyDescent="0.25">
      <c r="C572" s="5"/>
      <c r="D572" s="5"/>
      <c r="E572" s="5"/>
      <c r="F572" s="5"/>
    </row>
    <row r="573" spans="3:6" ht="13.2" x14ac:dyDescent="0.25">
      <c r="C573" s="5"/>
      <c r="D573" s="5"/>
      <c r="E573" s="5"/>
      <c r="F573" s="5"/>
    </row>
    <row r="574" spans="3:6" ht="13.2" x14ac:dyDescent="0.25">
      <c r="C574" s="5"/>
      <c r="D574" s="5"/>
      <c r="E574" s="5"/>
      <c r="F574" s="5"/>
    </row>
    <row r="575" spans="3:6" ht="13.2" x14ac:dyDescent="0.25">
      <c r="C575" s="5"/>
      <c r="D575" s="5"/>
      <c r="E575" s="5"/>
      <c r="F575" s="5"/>
    </row>
    <row r="576" spans="3:6" ht="13.2" x14ac:dyDescent="0.25">
      <c r="C576" s="5"/>
      <c r="D576" s="5"/>
      <c r="E576" s="5"/>
      <c r="F576" s="5"/>
    </row>
    <row r="577" spans="3:6" ht="13.2" x14ac:dyDescent="0.25">
      <c r="C577" s="5"/>
      <c r="D577" s="5"/>
      <c r="E577" s="5"/>
      <c r="F577" s="5"/>
    </row>
    <row r="578" spans="3:6" ht="13.2" x14ac:dyDescent="0.25">
      <c r="C578" s="5"/>
      <c r="D578" s="5"/>
      <c r="E578" s="5"/>
      <c r="F578" s="5"/>
    </row>
    <row r="579" spans="3:6" ht="13.2" x14ac:dyDescent="0.25">
      <c r="C579" s="5"/>
      <c r="D579" s="5"/>
      <c r="E579" s="5"/>
      <c r="F579" s="5"/>
    </row>
    <row r="580" spans="3:6" ht="13.2" x14ac:dyDescent="0.25">
      <c r="C580" s="5"/>
      <c r="D580" s="5"/>
      <c r="E580" s="5"/>
      <c r="F580" s="5"/>
    </row>
    <row r="581" spans="3:6" ht="13.2" x14ac:dyDescent="0.25">
      <c r="C581" s="5"/>
      <c r="D581" s="5"/>
      <c r="E581" s="5"/>
      <c r="F581" s="5"/>
    </row>
    <row r="582" spans="3:6" ht="13.2" x14ac:dyDescent="0.25">
      <c r="C582" s="5"/>
      <c r="D582" s="5"/>
      <c r="E582" s="5"/>
      <c r="F582" s="5"/>
    </row>
    <row r="583" spans="3:6" ht="13.2" x14ac:dyDescent="0.25">
      <c r="C583" s="5"/>
      <c r="D583" s="5"/>
      <c r="E583" s="5"/>
      <c r="F583" s="5"/>
    </row>
    <row r="584" spans="3:6" ht="13.2" x14ac:dyDescent="0.25">
      <c r="C584" s="5"/>
      <c r="D584" s="5"/>
      <c r="E584" s="5"/>
      <c r="F584" s="5"/>
    </row>
    <row r="585" spans="3:6" ht="13.2" x14ac:dyDescent="0.25">
      <c r="C585" s="5"/>
      <c r="D585" s="5"/>
      <c r="E585" s="5"/>
      <c r="F585" s="5"/>
    </row>
    <row r="586" spans="3:6" ht="13.2" x14ac:dyDescent="0.25">
      <c r="C586" s="5"/>
      <c r="D586" s="5"/>
      <c r="E586" s="5"/>
      <c r="F586" s="5"/>
    </row>
    <row r="587" spans="3:6" ht="13.2" x14ac:dyDescent="0.25">
      <c r="C587" s="5"/>
      <c r="D587" s="5"/>
      <c r="E587" s="5"/>
      <c r="F587" s="5"/>
    </row>
    <row r="588" spans="3:6" ht="13.2" x14ac:dyDescent="0.25">
      <c r="C588" s="5"/>
      <c r="D588" s="5"/>
      <c r="E588" s="5"/>
      <c r="F588" s="5"/>
    </row>
    <row r="589" spans="3:6" ht="13.2" x14ac:dyDescent="0.25">
      <c r="C589" s="5"/>
      <c r="D589" s="5"/>
      <c r="E589" s="5"/>
      <c r="F589" s="5"/>
    </row>
    <row r="590" spans="3:6" ht="13.2" x14ac:dyDescent="0.25">
      <c r="C590" s="5"/>
      <c r="D590" s="5"/>
      <c r="E590" s="5"/>
      <c r="F590" s="5"/>
    </row>
    <row r="591" spans="3:6" ht="13.2" x14ac:dyDescent="0.25">
      <c r="C591" s="5"/>
      <c r="D591" s="5"/>
      <c r="E591" s="5"/>
      <c r="F591" s="5"/>
    </row>
    <row r="592" spans="3:6" ht="13.2" x14ac:dyDescent="0.25">
      <c r="C592" s="5"/>
      <c r="D592" s="5"/>
      <c r="E592" s="5"/>
      <c r="F592" s="5"/>
    </row>
    <row r="593" spans="3:6" ht="13.2" x14ac:dyDescent="0.25">
      <c r="C593" s="5"/>
      <c r="D593" s="5"/>
      <c r="E593" s="5"/>
      <c r="F593" s="5"/>
    </row>
    <row r="594" spans="3:6" ht="13.2" x14ac:dyDescent="0.25">
      <c r="C594" s="5"/>
      <c r="D594" s="5"/>
      <c r="E594" s="5"/>
      <c r="F594" s="5"/>
    </row>
    <row r="595" spans="3:6" ht="13.2" x14ac:dyDescent="0.25">
      <c r="C595" s="5"/>
      <c r="D595" s="5"/>
      <c r="E595" s="5"/>
      <c r="F595" s="5"/>
    </row>
    <row r="596" spans="3:6" ht="13.2" x14ac:dyDescent="0.25">
      <c r="C596" s="5"/>
      <c r="D596" s="5"/>
      <c r="E596" s="5"/>
      <c r="F596" s="5"/>
    </row>
    <row r="597" spans="3:6" ht="13.2" x14ac:dyDescent="0.25">
      <c r="C597" s="5"/>
      <c r="D597" s="5"/>
      <c r="E597" s="5"/>
      <c r="F597" s="5"/>
    </row>
    <row r="598" spans="3:6" ht="13.2" x14ac:dyDescent="0.25">
      <c r="C598" s="5"/>
      <c r="D598" s="5"/>
      <c r="E598" s="5"/>
      <c r="F598" s="5"/>
    </row>
    <row r="599" spans="3:6" ht="13.2" x14ac:dyDescent="0.25">
      <c r="C599" s="5"/>
      <c r="D599" s="5"/>
      <c r="E599" s="5"/>
      <c r="F599" s="5"/>
    </row>
    <row r="600" spans="3:6" ht="13.2" x14ac:dyDescent="0.25">
      <c r="C600" s="5"/>
      <c r="D600" s="5"/>
      <c r="E600" s="5"/>
      <c r="F600" s="5"/>
    </row>
    <row r="601" spans="3:6" ht="13.2" x14ac:dyDescent="0.25">
      <c r="C601" s="5"/>
      <c r="D601" s="5"/>
      <c r="E601" s="5"/>
      <c r="F601" s="5"/>
    </row>
    <row r="602" spans="3:6" ht="13.2" x14ac:dyDescent="0.25">
      <c r="C602" s="5"/>
      <c r="D602" s="5"/>
      <c r="E602" s="5"/>
      <c r="F602" s="5"/>
    </row>
    <row r="603" spans="3:6" ht="13.2" x14ac:dyDescent="0.25">
      <c r="C603" s="5"/>
      <c r="D603" s="5"/>
      <c r="E603" s="5"/>
      <c r="F603" s="5"/>
    </row>
    <row r="604" spans="3:6" ht="13.2" x14ac:dyDescent="0.25">
      <c r="C604" s="5"/>
      <c r="D604" s="5"/>
      <c r="E604" s="5"/>
      <c r="F604" s="5"/>
    </row>
    <row r="605" spans="3:6" ht="13.2" x14ac:dyDescent="0.25">
      <c r="C605" s="5"/>
      <c r="D605" s="5"/>
      <c r="E605" s="5"/>
      <c r="F605" s="5"/>
    </row>
    <row r="606" spans="3:6" ht="13.2" x14ac:dyDescent="0.25">
      <c r="C606" s="5"/>
      <c r="D606" s="5"/>
      <c r="E606" s="5"/>
      <c r="F606" s="5"/>
    </row>
    <row r="607" spans="3:6" ht="13.2" x14ac:dyDescent="0.25">
      <c r="C607" s="5"/>
      <c r="D607" s="5"/>
      <c r="E607" s="5"/>
      <c r="F607" s="5"/>
    </row>
    <row r="608" spans="3:6" ht="13.2" x14ac:dyDescent="0.25">
      <c r="C608" s="5"/>
      <c r="D608" s="5"/>
      <c r="E608" s="5"/>
      <c r="F608" s="5"/>
    </row>
    <row r="609" spans="3:6" ht="13.2" x14ac:dyDescent="0.25">
      <c r="C609" s="5"/>
      <c r="D609" s="5"/>
      <c r="E609" s="5"/>
      <c r="F609" s="5"/>
    </row>
    <row r="610" spans="3:6" ht="13.2" x14ac:dyDescent="0.25">
      <c r="C610" s="5"/>
      <c r="D610" s="5"/>
      <c r="E610" s="5"/>
      <c r="F610" s="5"/>
    </row>
    <row r="611" spans="3:6" ht="13.2" x14ac:dyDescent="0.25">
      <c r="C611" s="5"/>
      <c r="D611" s="5"/>
      <c r="E611" s="5"/>
      <c r="F611" s="5"/>
    </row>
    <row r="612" spans="3:6" ht="13.2" x14ac:dyDescent="0.25">
      <c r="C612" s="5"/>
      <c r="D612" s="5"/>
      <c r="E612" s="5"/>
      <c r="F612" s="5"/>
    </row>
    <row r="613" spans="3:6" ht="13.2" x14ac:dyDescent="0.25">
      <c r="C613" s="5"/>
      <c r="D613" s="5"/>
      <c r="E613" s="5"/>
      <c r="F613" s="5"/>
    </row>
    <row r="614" spans="3:6" ht="13.2" x14ac:dyDescent="0.25">
      <c r="C614" s="5"/>
      <c r="D614" s="5"/>
      <c r="E614" s="5"/>
      <c r="F614" s="5"/>
    </row>
    <row r="615" spans="3:6" ht="13.2" x14ac:dyDescent="0.25">
      <c r="C615" s="5"/>
      <c r="D615" s="5"/>
      <c r="E615" s="5"/>
      <c r="F615" s="5"/>
    </row>
    <row r="616" spans="3:6" ht="13.2" x14ac:dyDescent="0.25">
      <c r="C616" s="5"/>
      <c r="D616" s="5"/>
      <c r="E616" s="5"/>
      <c r="F616" s="5"/>
    </row>
    <row r="617" spans="3:6" ht="13.2" x14ac:dyDescent="0.25">
      <c r="C617" s="5"/>
      <c r="D617" s="5"/>
      <c r="E617" s="5"/>
      <c r="F617" s="5"/>
    </row>
    <row r="618" spans="3:6" ht="13.2" x14ac:dyDescent="0.25">
      <c r="C618" s="5"/>
      <c r="D618" s="5"/>
      <c r="E618" s="5"/>
      <c r="F618" s="5"/>
    </row>
    <row r="619" spans="3:6" ht="13.2" x14ac:dyDescent="0.25">
      <c r="C619" s="5"/>
      <c r="D619" s="5"/>
      <c r="E619" s="5"/>
      <c r="F619" s="5"/>
    </row>
    <row r="620" spans="3:6" ht="13.2" x14ac:dyDescent="0.25">
      <c r="C620" s="5"/>
      <c r="D620" s="5"/>
      <c r="E620" s="5"/>
      <c r="F620" s="5"/>
    </row>
    <row r="621" spans="3:6" ht="13.2" x14ac:dyDescent="0.25">
      <c r="C621" s="5"/>
      <c r="D621" s="5"/>
      <c r="E621" s="5"/>
      <c r="F621" s="5"/>
    </row>
    <row r="622" spans="3:6" ht="13.2" x14ac:dyDescent="0.25">
      <c r="C622" s="5"/>
      <c r="D622" s="5"/>
      <c r="E622" s="5"/>
      <c r="F622" s="5"/>
    </row>
    <row r="623" spans="3:6" ht="13.2" x14ac:dyDescent="0.25">
      <c r="C623" s="5"/>
      <c r="D623" s="5"/>
      <c r="E623" s="5"/>
      <c r="F623" s="5"/>
    </row>
    <row r="624" spans="3:6" ht="13.2" x14ac:dyDescent="0.25">
      <c r="C624" s="5"/>
      <c r="D624" s="5"/>
      <c r="E624" s="5"/>
      <c r="F624" s="5"/>
    </row>
    <row r="625" spans="3:6" ht="13.2" x14ac:dyDescent="0.25">
      <c r="C625" s="5"/>
      <c r="D625" s="5"/>
      <c r="E625" s="5"/>
      <c r="F625" s="5"/>
    </row>
    <row r="626" spans="3:6" ht="13.2" x14ac:dyDescent="0.25">
      <c r="C626" s="5"/>
      <c r="D626" s="5"/>
      <c r="E626" s="5"/>
      <c r="F626" s="5"/>
    </row>
    <row r="627" spans="3:6" ht="13.2" x14ac:dyDescent="0.25">
      <c r="C627" s="5"/>
      <c r="D627" s="5"/>
      <c r="E627" s="5"/>
      <c r="F627" s="5"/>
    </row>
    <row r="628" spans="3:6" ht="13.2" x14ac:dyDescent="0.25">
      <c r="C628" s="5"/>
      <c r="D628" s="5"/>
      <c r="E628" s="5"/>
      <c r="F628" s="5"/>
    </row>
    <row r="629" spans="3:6" ht="13.2" x14ac:dyDescent="0.25">
      <c r="C629" s="5"/>
      <c r="D629" s="5"/>
      <c r="E629" s="5"/>
      <c r="F629" s="5"/>
    </row>
    <row r="630" spans="3:6" ht="13.2" x14ac:dyDescent="0.25">
      <c r="C630" s="5"/>
      <c r="D630" s="5"/>
      <c r="E630" s="5"/>
      <c r="F630" s="5"/>
    </row>
    <row r="631" spans="3:6" ht="13.2" x14ac:dyDescent="0.25">
      <c r="C631" s="5"/>
      <c r="D631" s="5"/>
      <c r="E631" s="5"/>
      <c r="F631" s="5"/>
    </row>
    <row r="632" spans="3:6" ht="13.2" x14ac:dyDescent="0.25">
      <c r="C632" s="5"/>
      <c r="D632" s="5"/>
      <c r="E632" s="5"/>
      <c r="F632" s="5"/>
    </row>
    <row r="633" spans="3:6" ht="13.2" x14ac:dyDescent="0.25">
      <c r="C633" s="5"/>
      <c r="D633" s="5"/>
      <c r="E633" s="5"/>
      <c r="F633" s="5"/>
    </row>
    <row r="634" spans="3:6" ht="13.2" x14ac:dyDescent="0.25">
      <c r="C634" s="5"/>
      <c r="D634" s="5"/>
      <c r="E634" s="5"/>
      <c r="F634" s="5"/>
    </row>
    <row r="635" spans="3:6" ht="13.2" x14ac:dyDescent="0.25">
      <c r="C635" s="5"/>
      <c r="D635" s="5"/>
      <c r="E635" s="5"/>
      <c r="F635" s="5"/>
    </row>
    <row r="636" spans="3:6" ht="13.2" x14ac:dyDescent="0.25">
      <c r="C636" s="5"/>
      <c r="D636" s="5"/>
      <c r="E636" s="5"/>
      <c r="F636" s="5"/>
    </row>
    <row r="637" spans="3:6" ht="13.2" x14ac:dyDescent="0.25">
      <c r="C637" s="5"/>
      <c r="D637" s="5"/>
      <c r="E637" s="5"/>
      <c r="F637" s="5"/>
    </row>
    <row r="638" spans="3:6" ht="13.2" x14ac:dyDescent="0.25">
      <c r="C638" s="5"/>
      <c r="D638" s="5"/>
      <c r="E638" s="5"/>
      <c r="F638" s="5"/>
    </row>
    <row r="639" spans="3:6" ht="13.2" x14ac:dyDescent="0.25">
      <c r="C639" s="5"/>
      <c r="D639" s="5"/>
      <c r="E639" s="5"/>
      <c r="F639" s="5"/>
    </row>
    <row r="640" spans="3:6" ht="13.2" x14ac:dyDescent="0.25">
      <c r="C640" s="5"/>
      <c r="D640" s="5"/>
      <c r="E640" s="5"/>
      <c r="F640" s="5"/>
    </row>
    <row r="641" spans="3:6" ht="13.2" x14ac:dyDescent="0.25">
      <c r="C641" s="5"/>
      <c r="D641" s="5"/>
      <c r="E641" s="5"/>
      <c r="F641" s="5"/>
    </row>
    <row r="642" spans="3:6" ht="13.2" x14ac:dyDescent="0.25">
      <c r="C642" s="5"/>
      <c r="D642" s="5"/>
      <c r="E642" s="5"/>
      <c r="F642" s="5"/>
    </row>
    <row r="643" spans="3:6" ht="13.2" x14ac:dyDescent="0.25">
      <c r="C643" s="5"/>
      <c r="D643" s="5"/>
      <c r="E643" s="5"/>
      <c r="F643" s="5"/>
    </row>
    <row r="644" spans="3:6" ht="13.2" x14ac:dyDescent="0.25">
      <c r="C644" s="5"/>
      <c r="D644" s="5"/>
      <c r="E644" s="5"/>
      <c r="F644" s="5"/>
    </row>
    <row r="645" spans="3:6" ht="13.2" x14ac:dyDescent="0.25">
      <c r="C645" s="5"/>
      <c r="D645" s="5"/>
      <c r="E645" s="5"/>
      <c r="F645" s="5"/>
    </row>
    <row r="646" spans="3:6" ht="13.2" x14ac:dyDescent="0.25">
      <c r="C646" s="5"/>
      <c r="D646" s="5"/>
      <c r="E646" s="5"/>
      <c r="F646" s="5"/>
    </row>
    <row r="647" spans="3:6" ht="13.2" x14ac:dyDescent="0.25">
      <c r="C647" s="5"/>
      <c r="D647" s="5"/>
      <c r="E647" s="5"/>
      <c r="F647" s="5"/>
    </row>
    <row r="648" spans="3:6" ht="13.2" x14ac:dyDescent="0.25">
      <c r="C648" s="5"/>
      <c r="D648" s="5"/>
      <c r="E648" s="5"/>
      <c r="F648" s="5"/>
    </row>
    <row r="649" spans="3:6" ht="13.2" x14ac:dyDescent="0.25">
      <c r="C649" s="5"/>
      <c r="D649" s="5"/>
      <c r="E649" s="5"/>
      <c r="F649" s="5"/>
    </row>
    <row r="650" spans="3:6" ht="13.2" x14ac:dyDescent="0.25">
      <c r="C650" s="5"/>
      <c r="D650" s="5"/>
      <c r="E650" s="5"/>
      <c r="F650" s="5"/>
    </row>
    <row r="651" spans="3:6" ht="13.2" x14ac:dyDescent="0.25">
      <c r="C651" s="5"/>
      <c r="D651" s="5"/>
      <c r="E651" s="5"/>
      <c r="F651" s="5"/>
    </row>
    <row r="652" spans="3:6" ht="13.2" x14ac:dyDescent="0.25">
      <c r="C652" s="5"/>
      <c r="D652" s="5"/>
      <c r="E652" s="5"/>
      <c r="F652" s="5"/>
    </row>
    <row r="653" spans="3:6" ht="13.2" x14ac:dyDescent="0.25">
      <c r="C653" s="5"/>
      <c r="D653" s="5"/>
      <c r="E653" s="5"/>
      <c r="F653" s="5"/>
    </row>
    <row r="654" spans="3:6" ht="13.2" x14ac:dyDescent="0.25">
      <c r="C654" s="5"/>
      <c r="D654" s="5"/>
      <c r="E654" s="5"/>
      <c r="F654" s="5"/>
    </row>
    <row r="655" spans="3:6" ht="13.2" x14ac:dyDescent="0.25">
      <c r="C655" s="5"/>
      <c r="D655" s="5"/>
      <c r="E655" s="5"/>
      <c r="F655" s="5"/>
    </row>
    <row r="656" spans="3:6" ht="13.2" x14ac:dyDescent="0.25">
      <c r="C656" s="5"/>
      <c r="D656" s="5"/>
      <c r="E656" s="5"/>
      <c r="F656" s="5"/>
    </row>
    <row r="657" spans="3:6" ht="13.2" x14ac:dyDescent="0.25">
      <c r="C657" s="5"/>
      <c r="D657" s="5"/>
      <c r="E657" s="5"/>
      <c r="F657" s="5"/>
    </row>
    <row r="658" spans="3:6" ht="13.2" x14ac:dyDescent="0.25">
      <c r="C658" s="5"/>
      <c r="D658" s="5"/>
      <c r="E658" s="5"/>
      <c r="F658" s="5"/>
    </row>
    <row r="659" spans="3:6" ht="13.2" x14ac:dyDescent="0.25">
      <c r="C659" s="5"/>
      <c r="D659" s="5"/>
      <c r="E659" s="5"/>
      <c r="F659" s="5"/>
    </row>
    <row r="660" spans="3:6" ht="13.2" x14ac:dyDescent="0.25">
      <c r="C660" s="5"/>
      <c r="D660" s="5"/>
      <c r="E660" s="5"/>
      <c r="F660" s="5"/>
    </row>
    <row r="661" spans="3:6" ht="13.2" x14ac:dyDescent="0.25">
      <c r="C661" s="5"/>
      <c r="D661" s="5"/>
      <c r="E661" s="5"/>
      <c r="F661" s="5"/>
    </row>
    <row r="662" spans="3:6" ht="13.2" x14ac:dyDescent="0.25">
      <c r="C662" s="5"/>
      <c r="D662" s="5"/>
      <c r="E662" s="5"/>
      <c r="F662" s="5"/>
    </row>
    <row r="663" spans="3:6" ht="13.2" x14ac:dyDescent="0.25">
      <c r="C663" s="5"/>
      <c r="D663" s="5"/>
      <c r="E663" s="5"/>
      <c r="F663" s="5"/>
    </row>
    <row r="664" spans="3:6" ht="13.2" x14ac:dyDescent="0.25">
      <c r="C664" s="5"/>
      <c r="D664" s="5"/>
      <c r="E664" s="5"/>
      <c r="F664" s="5"/>
    </row>
    <row r="665" spans="3:6" ht="13.2" x14ac:dyDescent="0.25">
      <c r="C665" s="5"/>
      <c r="D665" s="5"/>
      <c r="E665" s="5"/>
      <c r="F665" s="5"/>
    </row>
    <row r="666" spans="3:6" ht="13.2" x14ac:dyDescent="0.25">
      <c r="C666" s="5"/>
      <c r="D666" s="5"/>
      <c r="E666" s="5"/>
      <c r="F666" s="5"/>
    </row>
    <row r="667" spans="3:6" ht="13.2" x14ac:dyDescent="0.25">
      <c r="C667" s="5"/>
      <c r="D667" s="5"/>
      <c r="E667" s="5"/>
      <c r="F667" s="5"/>
    </row>
    <row r="668" spans="3:6" ht="13.2" x14ac:dyDescent="0.25">
      <c r="C668" s="5"/>
      <c r="D668" s="5"/>
      <c r="E668" s="5"/>
      <c r="F668" s="5"/>
    </row>
    <row r="669" spans="3:6" ht="13.2" x14ac:dyDescent="0.25">
      <c r="C669" s="5"/>
      <c r="D669" s="5"/>
      <c r="E669" s="5"/>
      <c r="F669" s="5"/>
    </row>
    <row r="670" spans="3:6" ht="13.2" x14ac:dyDescent="0.25">
      <c r="C670" s="5"/>
      <c r="D670" s="5"/>
      <c r="E670" s="5"/>
      <c r="F670" s="5"/>
    </row>
    <row r="671" spans="3:6" ht="13.2" x14ac:dyDescent="0.25">
      <c r="C671" s="5"/>
      <c r="D671" s="5"/>
      <c r="E671" s="5"/>
      <c r="F671" s="5"/>
    </row>
    <row r="672" spans="3:6" ht="13.2" x14ac:dyDescent="0.25">
      <c r="C672" s="5"/>
      <c r="D672" s="5"/>
      <c r="E672" s="5"/>
      <c r="F672" s="5"/>
    </row>
    <row r="673" spans="3:6" ht="13.2" x14ac:dyDescent="0.25">
      <c r="C673" s="5"/>
      <c r="D673" s="5"/>
      <c r="E673" s="5"/>
      <c r="F673" s="5"/>
    </row>
    <row r="674" spans="3:6" ht="13.2" x14ac:dyDescent="0.25">
      <c r="C674" s="5"/>
      <c r="D674" s="5"/>
      <c r="E674" s="5"/>
      <c r="F674" s="5"/>
    </row>
    <row r="675" spans="3:6" ht="13.2" x14ac:dyDescent="0.25">
      <c r="C675" s="5"/>
      <c r="D675" s="5"/>
      <c r="E675" s="5"/>
      <c r="F675" s="5"/>
    </row>
    <row r="676" spans="3:6" ht="13.2" x14ac:dyDescent="0.25">
      <c r="C676" s="5"/>
      <c r="D676" s="5"/>
      <c r="E676" s="5"/>
      <c r="F676" s="5"/>
    </row>
    <row r="677" spans="3:6" ht="13.2" x14ac:dyDescent="0.25">
      <c r="C677" s="5"/>
      <c r="D677" s="5"/>
      <c r="E677" s="5"/>
      <c r="F677" s="5"/>
    </row>
    <row r="678" spans="3:6" ht="13.2" x14ac:dyDescent="0.25">
      <c r="C678" s="5"/>
      <c r="D678" s="5"/>
      <c r="E678" s="5"/>
      <c r="F678" s="5"/>
    </row>
    <row r="679" spans="3:6" ht="13.2" x14ac:dyDescent="0.25">
      <c r="C679" s="5"/>
      <c r="D679" s="5"/>
      <c r="E679" s="5"/>
      <c r="F679" s="5"/>
    </row>
    <row r="680" spans="3:6" ht="13.2" x14ac:dyDescent="0.25">
      <c r="C680" s="5"/>
      <c r="D680" s="5"/>
      <c r="E680" s="5"/>
      <c r="F680" s="5"/>
    </row>
    <row r="681" spans="3:6" ht="13.2" x14ac:dyDescent="0.25">
      <c r="C681" s="5"/>
      <c r="D681" s="5"/>
      <c r="E681" s="5"/>
      <c r="F681" s="5"/>
    </row>
    <row r="682" spans="3:6" ht="13.2" x14ac:dyDescent="0.25">
      <c r="C682" s="5"/>
      <c r="D682" s="5"/>
      <c r="E682" s="5"/>
      <c r="F682" s="5"/>
    </row>
    <row r="683" spans="3:6" ht="13.2" x14ac:dyDescent="0.25">
      <c r="C683" s="5"/>
      <c r="D683" s="5"/>
      <c r="E683" s="5"/>
      <c r="F683" s="5"/>
    </row>
    <row r="684" spans="3:6" ht="13.2" x14ac:dyDescent="0.25">
      <c r="C684" s="5"/>
      <c r="D684" s="5"/>
      <c r="E684" s="5"/>
      <c r="F684" s="5"/>
    </row>
    <row r="685" spans="3:6" ht="13.2" x14ac:dyDescent="0.25">
      <c r="C685" s="5"/>
      <c r="D685" s="5"/>
      <c r="E685" s="5"/>
      <c r="F685" s="5"/>
    </row>
    <row r="686" spans="3:6" ht="13.2" x14ac:dyDescent="0.25">
      <c r="C686" s="5"/>
      <c r="D686" s="5"/>
      <c r="E686" s="5"/>
      <c r="F686" s="5"/>
    </row>
    <row r="687" spans="3:6" ht="13.2" x14ac:dyDescent="0.25">
      <c r="C687" s="5"/>
      <c r="D687" s="5"/>
      <c r="E687" s="5"/>
      <c r="F687" s="5"/>
    </row>
    <row r="688" spans="3:6" ht="13.2" x14ac:dyDescent="0.25">
      <c r="C688" s="5"/>
      <c r="D688" s="5"/>
      <c r="E688" s="5"/>
      <c r="F688" s="5"/>
    </row>
    <row r="689" spans="3:6" ht="13.2" x14ac:dyDescent="0.25">
      <c r="C689" s="5"/>
      <c r="D689" s="5"/>
      <c r="E689" s="5"/>
      <c r="F689" s="5"/>
    </row>
    <row r="690" spans="3:6" ht="13.2" x14ac:dyDescent="0.25">
      <c r="C690" s="5"/>
      <c r="D690" s="5"/>
      <c r="E690" s="5"/>
      <c r="F690" s="5"/>
    </row>
    <row r="691" spans="3:6" ht="13.2" x14ac:dyDescent="0.25">
      <c r="C691" s="5"/>
      <c r="D691" s="5"/>
      <c r="E691" s="5"/>
      <c r="F691" s="5"/>
    </row>
    <row r="692" spans="3:6" ht="13.2" x14ac:dyDescent="0.25">
      <c r="C692" s="5"/>
      <c r="D692" s="5"/>
      <c r="E692" s="5"/>
      <c r="F692" s="5"/>
    </row>
    <row r="693" spans="3:6" ht="13.2" x14ac:dyDescent="0.25">
      <c r="C693" s="5"/>
      <c r="D693" s="5"/>
      <c r="E693" s="5"/>
      <c r="F693" s="5"/>
    </row>
    <row r="694" spans="3:6" ht="13.2" x14ac:dyDescent="0.25">
      <c r="C694" s="5"/>
      <c r="D694" s="5"/>
      <c r="E694" s="5"/>
      <c r="F694" s="5"/>
    </row>
    <row r="695" spans="3:6" ht="13.2" x14ac:dyDescent="0.25">
      <c r="C695" s="5"/>
      <c r="D695" s="5"/>
      <c r="E695" s="5"/>
      <c r="F695" s="5"/>
    </row>
    <row r="696" spans="3:6" ht="13.2" x14ac:dyDescent="0.25">
      <c r="C696" s="5"/>
      <c r="D696" s="5"/>
      <c r="E696" s="5"/>
      <c r="F696" s="5"/>
    </row>
    <row r="697" spans="3:6" ht="13.2" x14ac:dyDescent="0.25">
      <c r="C697" s="5"/>
      <c r="D697" s="5"/>
      <c r="E697" s="5"/>
      <c r="F697" s="5"/>
    </row>
    <row r="698" spans="3:6" ht="13.2" x14ac:dyDescent="0.25">
      <c r="C698" s="5"/>
      <c r="D698" s="5"/>
      <c r="E698" s="5"/>
      <c r="F698" s="5"/>
    </row>
    <row r="699" spans="3:6" ht="13.2" x14ac:dyDescent="0.25">
      <c r="C699" s="5"/>
      <c r="D699" s="5"/>
      <c r="E699" s="5"/>
      <c r="F699" s="5"/>
    </row>
    <row r="700" spans="3:6" ht="13.2" x14ac:dyDescent="0.25">
      <c r="C700" s="5"/>
      <c r="D700" s="5"/>
      <c r="E700" s="5"/>
      <c r="F700" s="5"/>
    </row>
    <row r="701" spans="3:6" ht="13.2" x14ac:dyDescent="0.25">
      <c r="C701" s="5"/>
      <c r="D701" s="5"/>
      <c r="E701" s="5"/>
      <c r="F701" s="5"/>
    </row>
    <row r="702" spans="3:6" ht="13.2" x14ac:dyDescent="0.25">
      <c r="C702" s="5"/>
      <c r="D702" s="5"/>
      <c r="E702" s="5"/>
      <c r="F702" s="5"/>
    </row>
    <row r="703" spans="3:6" ht="13.2" x14ac:dyDescent="0.25">
      <c r="C703" s="5"/>
      <c r="D703" s="5"/>
      <c r="E703" s="5"/>
      <c r="F703" s="5"/>
    </row>
    <row r="704" spans="3:6" ht="13.2" x14ac:dyDescent="0.25">
      <c r="C704" s="5"/>
      <c r="D704" s="5"/>
      <c r="E704" s="5"/>
      <c r="F704" s="5"/>
    </row>
    <row r="705" spans="3:6" ht="13.2" x14ac:dyDescent="0.25">
      <c r="C705" s="5"/>
      <c r="D705" s="5"/>
      <c r="E705" s="5"/>
      <c r="F705" s="5"/>
    </row>
    <row r="706" spans="3:6" ht="13.2" x14ac:dyDescent="0.25">
      <c r="C706" s="5"/>
      <c r="D706" s="5"/>
      <c r="E706" s="5"/>
      <c r="F706" s="5"/>
    </row>
    <row r="707" spans="3:6" ht="13.2" x14ac:dyDescent="0.25">
      <c r="C707" s="5"/>
      <c r="D707" s="5"/>
      <c r="E707" s="5"/>
      <c r="F707" s="5"/>
    </row>
    <row r="708" spans="3:6" ht="13.2" x14ac:dyDescent="0.25">
      <c r="C708" s="5"/>
      <c r="D708" s="5"/>
      <c r="E708" s="5"/>
      <c r="F708" s="5"/>
    </row>
    <row r="709" spans="3:6" ht="13.2" x14ac:dyDescent="0.25">
      <c r="C709" s="5"/>
      <c r="D709" s="5"/>
      <c r="E709" s="5"/>
      <c r="F709" s="5"/>
    </row>
    <row r="710" spans="3:6" ht="13.2" x14ac:dyDescent="0.25">
      <c r="C710" s="5"/>
      <c r="D710" s="5"/>
      <c r="E710" s="5"/>
      <c r="F710" s="5"/>
    </row>
    <row r="711" spans="3:6" ht="13.2" x14ac:dyDescent="0.25">
      <c r="C711" s="5"/>
      <c r="D711" s="5"/>
      <c r="E711" s="5"/>
      <c r="F711" s="5"/>
    </row>
    <row r="712" spans="3:6" ht="13.2" x14ac:dyDescent="0.25">
      <c r="C712" s="5"/>
      <c r="D712" s="5"/>
      <c r="E712" s="5"/>
      <c r="F712" s="5"/>
    </row>
    <row r="713" spans="3:6" ht="13.2" x14ac:dyDescent="0.25">
      <c r="C713" s="5"/>
      <c r="D713" s="5"/>
      <c r="E713" s="5"/>
      <c r="F713" s="5"/>
    </row>
    <row r="714" spans="3:6" ht="13.2" x14ac:dyDescent="0.25">
      <c r="C714" s="5"/>
      <c r="D714" s="5"/>
      <c r="E714" s="5"/>
      <c r="F714" s="5"/>
    </row>
    <row r="715" spans="3:6" ht="13.2" x14ac:dyDescent="0.25">
      <c r="C715" s="5"/>
      <c r="D715" s="5"/>
      <c r="E715" s="5"/>
      <c r="F715" s="5"/>
    </row>
    <row r="716" spans="3:6" ht="13.2" x14ac:dyDescent="0.25">
      <c r="C716" s="5"/>
      <c r="D716" s="5"/>
      <c r="E716" s="5"/>
      <c r="F716" s="5"/>
    </row>
    <row r="717" spans="3:6" ht="13.2" x14ac:dyDescent="0.25">
      <c r="C717" s="5"/>
      <c r="D717" s="5"/>
      <c r="E717" s="5"/>
      <c r="F717" s="5"/>
    </row>
    <row r="718" spans="3:6" ht="13.2" x14ac:dyDescent="0.25">
      <c r="C718" s="5"/>
      <c r="D718" s="5"/>
      <c r="E718" s="5"/>
      <c r="F718" s="5"/>
    </row>
    <row r="719" spans="3:6" ht="13.2" x14ac:dyDescent="0.25">
      <c r="C719" s="5"/>
      <c r="D719" s="5"/>
      <c r="E719" s="5"/>
      <c r="F719" s="5"/>
    </row>
    <row r="720" spans="3:6" ht="13.2" x14ac:dyDescent="0.25">
      <c r="C720" s="5"/>
      <c r="D720" s="5"/>
      <c r="E720" s="5"/>
      <c r="F720" s="5"/>
    </row>
    <row r="721" spans="3:6" ht="13.2" x14ac:dyDescent="0.25">
      <c r="C721" s="5"/>
      <c r="D721" s="5"/>
      <c r="E721" s="5"/>
      <c r="F721" s="5"/>
    </row>
    <row r="722" spans="3:6" ht="13.2" x14ac:dyDescent="0.25">
      <c r="C722" s="5"/>
      <c r="D722" s="5"/>
      <c r="E722" s="5"/>
      <c r="F722" s="5"/>
    </row>
    <row r="723" spans="3:6" ht="13.2" x14ac:dyDescent="0.25">
      <c r="C723" s="5"/>
      <c r="D723" s="5"/>
      <c r="E723" s="5"/>
      <c r="F723" s="5"/>
    </row>
    <row r="724" spans="3:6" ht="13.2" x14ac:dyDescent="0.25">
      <c r="C724" s="5"/>
      <c r="D724" s="5"/>
      <c r="E724" s="5"/>
      <c r="F724" s="5"/>
    </row>
    <row r="725" spans="3:6" ht="13.2" x14ac:dyDescent="0.25">
      <c r="C725" s="5"/>
      <c r="D725" s="5"/>
      <c r="E725" s="5"/>
      <c r="F725" s="5"/>
    </row>
    <row r="726" spans="3:6" ht="13.2" x14ac:dyDescent="0.25">
      <c r="C726" s="5"/>
      <c r="D726" s="5"/>
      <c r="E726" s="5"/>
      <c r="F726" s="5"/>
    </row>
    <row r="727" spans="3:6" ht="13.2" x14ac:dyDescent="0.25">
      <c r="C727" s="5"/>
      <c r="D727" s="5"/>
      <c r="E727" s="5"/>
      <c r="F727" s="5"/>
    </row>
    <row r="728" spans="3:6" ht="13.2" x14ac:dyDescent="0.25">
      <c r="C728" s="5"/>
      <c r="D728" s="5"/>
      <c r="E728" s="5"/>
      <c r="F728" s="5"/>
    </row>
    <row r="729" spans="3:6" ht="13.2" x14ac:dyDescent="0.25">
      <c r="C729" s="5"/>
      <c r="D729" s="5"/>
      <c r="E729" s="5"/>
      <c r="F729" s="5"/>
    </row>
    <row r="730" spans="3:6" ht="13.2" x14ac:dyDescent="0.25">
      <c r="C730" s="5"/>
      <c r="D730" s="5"/>
      <c r="E730" s="5"/>
      <c r="F730" s="5"/>
    </row>
    <row r="731" spans="3:6" ht="13.2" x14ac:dyDescent="0.25">
      <c r="C731" s="5"/>
      <c r="D731" s="5"/>
      <c r="E731" s="5"/>
      <c r="F731" s="5"/>
    </row>
    <row r="732" spans="3:6" ht="13.2" x14ac:dyDescent="0.25">
      <c r="C732" s="5"/>
      <c r="D732" s="5"/>
      <c r="E732" s="5"/>
      <c r="F732" s="5"/>
    </row>
    <row r="733" spans="3:6" ht="13.2" x14ac:dyDescent="0.25">
      <c r="C733" s="5"/>
      <c r="D733" s="5"/>
      <c r="E733" s="5"/>
      <c r="F733" s="5"/>
    </row>
    <row r="734" spans="3:6" ht="13.2" x14ac:dyDescent="0.25">
      <c r="C734" s="5"/>
      <c r="D734" s="5"/>
      <c r="E734" s="5"/>
      <c r="F734" s="5"/>
    </row>
    <row r="735" spans="3:6" ht="13.2" x14ac:dyDescent="0.25">
      <c r="C735" s="5"/>
      <c r="D735" s="5"/>
      <c r="E735" s="5"/>
      <c r="F735" s="5"/>
    </row>
    <row r="736" spans="3:6" ht="13.2" x14ac:dyDescent="0.25">
      <c r="C736" s="5"/>
      <c r="D736" s="5"/>
      <c r="E736" s="5"/>
      <c r="F736" s="5"/>
    </row>
    <row r="737" spans="3:6" ht="13.2" x14ac:dyDescent="0.25">
      <c r="C737" s="5"/>
      <c r="D737" s="5"/>
      <c r="E737" s="5"/>
      <c r="F737" s="5"/>
    </row>
    <row r="738" spans="3:6" ht="13.2" x14ac:dyDescent="0.25">
      <c r="C738" s="5"/>
      <c r="D738" s="5"/>
      <c r="E738" s="5"/>
      <c r="F738" s="5"/>
    </row>
    <row r="739" spans="3:6" ht="13.2" x14ac:dyDescent="0.25">
      <c r="C739" s="5"/>
      <c r="D739" s="5"/>
      <c r="E739" s="5"/>
      <c r="F739" s="5"/>
    </row>
    <row r="740" spans="3:6" ht="13.2" x14ac:dyDescent="0.25">
      <c r="C740" s="5"/>
      <c r="D740" s="5"/>
      <c r="E740" s="5"/>
      <c r="F740" s="5"/>
    </row>
    <row r="741" spans="3:6" ht="13.2" x14ac:dyDescent="0.25">
      <c r="C741" s="5"/>
      <c r="D741" s="5"/>
      <c r="E741" s="5"/>
      <c r="F741" s="5"/>
    </row>
    <row r="742" spans="3:6" ht="13.2" x14ac:dyDescent="0.25">
      <c r="C742" s="5"/>
      <c r="D742" s="5"/>
      <c r="E742" s="5"/>
      <c r="F742" s="5"/>
    </row>
    <row r="743" spans="3:6" ht="13.2" x14ac:dyDescent="0.25">
      <c r="C743" s="5"/>
      <c r="D743" s="5"/>
      <c r="E743" s="5"/>
      <c r="F743" s="5"/>
    </row>
    <row r="744" spans="3:6" ht="13.2" x14ac:dyDescent="0.25">
      <c r="C744" s="5"/>
      <c r="D744" s="5"/>
      <c r="E744" s="5"/>
      <c r="F744" s="5"/>
    </row>
    <row r="745" spans="3:6" ht="13.2" x14ac:dyDescent="0.25">
      <c r="C745" s="5"/>
      <c r="D745" s="5"/>
      <c r="E745" s="5"/>
      <c r="F745" s="5"/>
    </row>
    <row r="746" spans="3:6" ht="13.2" x14ac:dyDescent="0.25">
      <c r="C746" s="5"/>
      <c r="D746" s="5"/>
      <c r="E746" s="5"/>
      <c r="F746" s="5"/>
    </row>
    <row r="747" spans="3:6" ht="13.2" x14ac:dyDescent="0.25">
      <c r="C747" s="5"/>
      <c r="D747" s="5"/>
      <c r="E747" s="5"/>
      <c r="F747" s="5"/>
    </row>
    <row r="748" spans="3:6" ht="13.2" x14ac:dyDescent="0.25">
      <c r="C748" s="5"/>
      <c r="D748" s="5"/>
      <c r="E748" s="5"/>
      <c r="F748" s="5"/>
    </row>
    <row r="749" spans="3:6" ht="13.2" x14ac:dyDescent="0.25">
      <c r="C749" s="5"/>
      <c r="D749" s="5"/>
      <c r="E749" s="5"/>
      <c r="F749" s="5"/>
    </row>
    <row r="750" spans="3:6" ht="13.2" x14ac:dyDescent="0.25">
      <c r="C750" s="5"/>
      <c r="D750" s="5"/>
      <c r="E750" s="5"/>
      <c r="F750" s="5"/>
    </row>
    <row r="751" spans="3:6" ht="13.2" x14ac:dyDescent="0.25">
      <c r="C751" s="5"/>
      <c r="D751" s="5"/>
      <c r="E751" s="5"/>
      <c r="F751" s="5"/>
    </row>
    <row r="752" spans="3:6" ht="13.2" x14ac:dyDescent="0.25">
      <c r="C752" s="5"/>
      <c r="D752" s="5"/>
      <c r="E752" s="5"/>
      <c r="F752" s="5"/>
    </row>
    <row r="753" spans="3:6" ht="13.2" x14ac:dyDescent="0.25">
      <c r="C753" s="5"/>
      <c r="D753" s="5"/>
      <c r="E753" s="5"/>
      <c r="F753" s="5"/>
    </row>
    <row r="754" spans="3:6" ht="13.2" x14ac:dyDescent="0.25">
      <c r="C754" s="5"/>
      <c r="D754" s="5"/>
      <c r="E754" s="5"/>
      <c r="F754" s="5"/>
    </row>
    <row r="755" spans="3:6" ht="13.2" x14ac:dyDescent="0.25">
      <c r="C755" s="5"/>
      <c r="D755" s="5"/>
      <c r="E755" s="5"/>
      <c r="F755" s="5"/>
    </row>
    <row r="756" spans="3:6" ht="13.2" x14ac:dyDescent="0.25">
      <c r="C756" s="5"/>
      <c r="D756" s="5"/>
      <c r="E756" s="5"/>
      <c r="F756" s="5"/>
    </row>
    <row r="757" spans="3:6" ht="13.2" x14ac:dyDescent="0.25">
      <c r="C757" s="5"/>
      <c r="D757" s="5"/>
      <c r="E757" s="5"/>
      <c r="F757" s="5"/>
    </row>
    <row r="758" spans="3:6" ht="13.2" x14ac:dyDescent="0.25">
      <c r="C758" s="5"/>
      <c r="D758" s="5"/>
      <c r="E758" s="5"/>
      <c r="F758" s="5"/>
    </row>
    <row r="759" spans="3:6" ht="13.2" x14ac:dyDescent="0.25">
      <c r="C759" s="5"/>
      <c r="D759" s="5"/>
      <c r="E759" s="5"/>
      <c r="F759" s="5"/>
    </row>
    <row r="760" spans="3:6" ht="13.2" x14ac:dyDescent="0.25">
      <c r="C760" s="5"/>
      <c r="D760" s="5"/>
      <c r="E760" s="5"/>
      <c r="F760" s="5"/>
    </row>
    <row r="761" spans="3:6" ht="13.2" x14ac:dyDescent="0.25">
      <c r="C761" s="5"/>
      <c r="D761" s="5"/>
      <c r="E761" s="5"/>
      <c r="F761" s="5"/>
    </row>
    <row r="762" spans="3:6" ht="13.2" x14ac:dyDescent="0.25">
      <c r="C762" s="5"/>
      <c r="D762" s="5"/>
      <c r="E762" s="5"/>
      <c r="F762" s="5"/>
    </row>
    <row r="763" spans="3:6" ht="13.2" x14ac:dyDescent="0.25">
      <c r="C763" s="5"/>
      <c r="D763" s="5"/>
      <c r="E763" s="5"/>
      <c r="F763" s="5"/>
    </row>
    <row r="764" spans="3:6" ht="13.2" x14ac:dyDescent="0.25">
      <c r="C764" s="5"/>
      <c r="D764" s="5"/>
      <c r="E764" s="5"/>
      <c r="F764" s="5"/>
    </row>
    <row r="765" spans="3:6" ht="13.2" x14ac:dyDescent="0.25">
      <c r="C765" s="5"/>
      <c r="D765" s="5"/>
      <c r="E765" s="5"/>
      <c r="F765" s="5"/>
    </row>
    <row r="766" spans="3:6" ht="13.2" x14ac:dyDescent="0.25">
      <c r="C766" s="5"/>
      <c r="D766" s="5"/>
      <c r="E766" s="5"/>
      <c r="F766" s="5"/>
    </row>
    <row r="767" spans="3:6" ht="13.2" x14ac:dyDescent="0.25">
      <c r="C767" s="5"/>
      <c r="D767" s="5"/>
      <c r="E767" s="5"/>
      <c r="F767" s="5"/>
    </row>
    <row r="768" spans="3:6" ht="13.2" x14ac:dyDescent="0.25">
      <c r="C768" s="5"/>
      <c r="D768" s="5"/>
      <c r="E768" s="5"/>
      <c r="F768" s="5"/>
    </row>
    <row r="769" spans="3:6" ht="13.2" x14ac:dyDescent="0.25">
      <c r="C769" s="5"/>
      <c r="D769" s="5"/>
      <c r="E769" s="5"/>
      <c r="F769" s="5"/>
    </row>
    <row r="770" spans="3:6" ht="13.2" x14ac:dyDescent="0.25">
      <c r="C770" s="5"/>
      <c r="D770" s="5"/>
      <c r="E770" s="5"/>
      <c r="F770" s="5"/>
    </row>
    <row r="771" spans="3:6" ht="13.2" x14ac:dyDescent="0.25">
      <c r="C771" s="5"/>
      <c r="D771" s="5"/>
      <c r="E771" s="5"/>
      <c r="F771" s="5"/>
    </row>
    <row r="772" spans="3:6" ht="13.2" x14ac:dyDescent="0.25">
      <c r="C772" s="5"/>
      <c r="D772" s="5"/>
      <c r="E772" s="5"/>
      <c r="F772" s="5"/>
    </row>
    <row r="773" spans="3:6" ht="13.2" x14ac:dyDescent="0.25">
      <c r="C773" s="5"/>
      <c r="D773" s="5"/>
      <c r="E773" s="5"/>
      <c r="F773" s="5"/>
    </row>
    <row r="774" spans="3:6" ht="13.2" x14ac:dyDescent="0.25">
      <c r="C774" s="5"/>
      <c r="D774" s="5"/>
      <c r="E774" s="5"/>
      <c r="F774" s="5"/>
    </row>
    <row r="775" spans="3:6" ht="13.2" x14ac:dyDescent="0.25">
      <c r="C775" s="5"/>
      <c r="D775" s="5"/>
      <c r="E775" s="5"/>
      <c r="F775" s="5"/>
    </row>
    <row r="776" spans="3:6" ht="13.2" x14ac:dyDescent="0.25">
      <c r="C776" s="5"/>
      <c r="D776" s="5"/>
      <c r="E776" s="5"/>
      <c r="F776" s="5"/>
    </row>
    <row r="777" spans="3:6" ht="13.2" x14ac:dyDescent="0.25">
      <c r="C777" s="5"/>
      <c r="D777" s="5"/>
      <c r="E777" s="5"/>
      <c r="F777" s="5"/>
    </row>
    <row r="778" spans="3:6" ht="13.2" x14ac:dyDescent="0.25">
      <c r="C778" s="5"/>
      <c r="D778" s="5"/>
      <c r="E778" s="5"/>
      <c r="F778" s="5"/>
    </row>
    <row r="779" spans="3:6" ht="13.2" x14ac:dyDescent="0.25">
      <c r="C779" s="5"/>
      <c r="D779" s="5"/>
      <c r="E779" s="5"/>
      <c r="F779" s="5"/>
    </row>
    <row r="780" spans="3:6" ht="13.2" x14ac:dyDescent="0.25">
      <c r="C780" s="5"/>
      <c r="D780" s="5"/>
      <c r="E780" s="5"/>
      <c r="F780" s="5"/>
    </row>
    <row r="781" spans="3:6" ht="13.2" x14ac:dyDescent="0.25">
      <c r="C781" s="5"/>
      <c r="D781" s="5"/>
      <c r="E781" s="5"/>
      <c r="F781" s="5"/>
    </row>
    <row r="782" spans="3:6" ht="13.2" x14ac:dyDescent="0.25">
      <c r="C782" s="5"/>
      <c r="D782" s="5"/>
      <c r="E782" s="5"/>
      <c r="F782" s="5"/>
    </row>
    <row r="783" spans="3:6" ht="13.2" x14ac:dyDescent="0.25">
      <c r="C783" s="5"/>
      <c r="D783" s="5"/>
      <c r="E783" s="5"/>
      <c r="F783" s="5"/>
    </row>
    <row r="784" spans="3:6" ht="13.2" x14ac:dyDescent="0.25">
      <c r="C784" s="5"/>
      <c r="D784" s="5"/>
      <c r="E784" s="5"/>
      <c r="F784" s="5"/>
    </row>
    <row r="785" spans="3:6" ht="13.2" x14ac:dyDescent="0.25">
      <c r="C785" s="5"/>
      <c r="D785" s="5"/>
      <c r="E785" s="5"/>
      <c r="F785" s="5"/>
    </row>
    <row r="786" spans="3:6" ht="13.2" x14ac:dyDescent="0.25">
      <c r="C786" s="5"/>
      <c r="D786" s="5"/>
      <c r="E786" s="5"/>
      <c r="F786" s="5"/>
    </row>
    <row r="787" spans="3:6" ht="13.2" x14ac:dyDescent="0.25">
      <c r="C787" s="5"/>
      <c r="D787" s="5"/>
      <c r="E787" s="5"/>
      <c r="F787" s="5"/>
    </row>
    <row r="788" spans="3:6" ht="13.2" x14ac:dyDescent="0.25">
      <c r="C788" s="5"/>
      <c r="D788" s="5"/>
      <c r="E788" s="5"/>
      <c r="F788" s="5"/>
    </row>
    <row r="789" spans="3:6" ht="13.2" x14ac:dyDescent="0.25">
      <c r="C789" s="5"/>
      <c r="D789" s="5"/>
      <c r="E789" s="5"/>
      <c r="F789" s="5"/>
    </row>
    <row r="790" spans="3:6" ht="13.2" x14ac:dyDescent="0.25">
      <c r="C790" s="5"/>
      <c r="D790" s="5"/>
      <c r="E790" s="5"/>
      <c r="F790" s="5"/>
    </row>
    <row r="791" spans="3:6" ht="13.2" x14ac:dyDescent="0.25">
      <c r="C791" s="5"/>
      <c r="D791" s="5"/>
      <c r="E791" s="5"/>
      <c r="F791" s="5"/>
    </row>
    <row r="792" spans="3:6" ht="13.2" x14ac:dyDescent="0.25">
      <c r="C792" s="5"/>
      <c r="D792" s="5"/>
      <c r="E792" s="5"/>
      <c r="F792" s="5"/>
    </row>
    <row r="793" spans="3:6" ht="13.2" x14ac:dyDescent="0.25">
      <c r="C793" s="5"/>
      <c r="D793" s="5"/>
      <c r="E793" s="5"/>
      <c r="F793" s="5"/>
    </row>
    <row r="794" spans="3:6" ht="13.2" x14ac:dyDescent="0.25">
      <c r="C794" s="5"/>
      <c r="D794" s="5"/>
      <c r="E794" s="5"/>
      <c r="F794" s="5"/>
    </row>
    <row r="795" spans="3:6" ht="13.2" x14ac:dyDescent="0.25">
      <c r="C795" s="5"/>
      <c r="D795" s="5"/>
      <c r="E795" s="5"/>
      <c r="F795" s="5"/>
    </row>
    <row r="796" spans="3:6" ht="13.2" x14ac:dyDescent="0.25">
      <c r="C796" s="5"/>
      <c r="D796" s="5"/>
      <c r="E796" s="5"/>
      <c r="F796" s="5"/>
    </row>
    <row r="797" spans="3:6" ht="13.2" x14ac:dyDescent="0.25">
      <c r="C797" s="5"/>
      <c r="D797" s="5"/>
      <c r="E797" s="5"/>
      <c r="F797" s="5"/>
    </row>
    <row r="798" spans="3:6" ht="13.2" x14ac:dyDescent="0.25">
      <c r="C798" s="5"/>
      <c r="D798" s="5"/>
      <c r="E798" s="5"/>
      <c r="F798" s="5"/>
    </row>
    <row r="799" spans="3:6" ht="13.2" x14ac:dyDescent="0.25">
      <c r="C799" s="5"/>
      <c r="D799" s="5"/>
      <c r="E799" s="5"/>
      <c r="F799" s="5"/>
    </row>
    <row r="800" spans="3:6" ht="13.2" x14ac:dyDescent="0.25">
      <c r="C800" s="5"/>
      <c r="D800" s="5"/>
      <c r="E800" s="5"/>
      <c r="F800" s="5"/>
    </row>
    <row r="801" spans="3:6" ht="13.2" x14ac:dyDescent="0.25">
      <c r="C801" s="5"/>
      <c r="D801" s="5"/>
      <c r="E801" s="5"/>
      <c r="F801" s="5"/>
    </row>
    <row r="802" spans="3:6" ht="13.2" x14ac:dyDescent="0.25">
      <c r="C802" s="5"/>
      <c r="D802" s="5"/>
      <c r="E802" s="5"/>
      <c r="F802" s="5"/>
    </row>
    <row r="803" spans="3:6" ht="13.2" x14ac:dyDescent="0.25">
      <c r="C803" s="5"/>
      <c r="D803" s="5"/>
      <c r="E803" s="5"/>
      <c r="F803" s="5"/>
    </row>
    <row r="804" spans="3:6" ht="13.2" x14ac:dyDescent="0.25">
      <c r="C804" s="5"/>
      <c r="D804" s="5"/>
      <c r="E804" s="5"/>
      <c r="F804" s="5"/>
    </row>
    <row r="805" spans="3:6" ht="13.2" x14ac:dyDescent="0.25">
      <c r="C805" s="5"/>
      <c r="D805" s="5"/>
      <c r="E805" s="5"/>
      <c r="F805" s="5"/>
    </row>
    <row r="806" spans="3:6" ht="13.2" x14ac:dyDescent="0.25">
      <c r="C806" s="5"/>
      <c r="D806" s="5"/>
      <c r="E806" s="5"/>
      <c r="F806" s="5"/>
    </row>
    <row r="807" spans="3:6" ht="13.2" x14ac:dyDescent="0.25">
      <c r="C807" s="5"/>
      <c r="D807" s="5"/>
      <c r="E807" s="5"/>
      <c r="F807" s="5"/>
    </row>
    <row r="808" spans="3:6" ht="13.2" x14ac:dyDescent="0.25">
      <c r="C808" s="5"/>
      <c r="D808" s="5"/>
      <c r="E808" s="5"/>
      <c r="F808" s="5"/>
    </row>
    <row r="809" spans="3:6" ht="13.2" x14ac:dyDescent="0.25">
      <c r="C809" s="5"/>
      <c r="D809" s="5"/>
      <c r="E809" s="5"/>
      <c r="F809" s="5"/>
    </row>
    <row r="810" spans="3:6" ht="13.2" x14ac:dyDescent="0.25">
      <c r="C810" s="5"/>
      <c r="D810" s="5"/>
      <c r="E810" s="5"/>
      <c r="F810" s="5"/>
    </row>
    <row r="811" spans="3:6" ht="13.2" x14ac:dyDescent="0.25">
      <c r="C811" s="5"/>
      <c r="D811" s="5"/>
      <c r="E811" s="5"/>
      <c r="F811" s="5"/>
    </row>
    <row r="812" spans="3:6" ht="13.2" x14ac:dyDescent="0.25">
      <c r="C812" s="5"/>
      <c r="D812" s="5"/>
      <c r="E812" s="5"/>
      <c r="F812" s="5"/>
    </row>
    <row r="813" spans="3:6" ht="13.2" x14ac:dyDescent="0.25">
      <c r="C813" s="5"/>
      <c r="D813" s="5"/>
      <c r="E813" s="5"/>
      <c r="F813" s="5"/>
    </row>
    <row r="814" spans="3:6" ht="13.2" x14ac:dyDescent="0.25">
      <c r="C814" s="5"/>
      <c r="D814" s="5"/>
      <c r="E814" s="5"/>
      <c r="F814" s="5"/>
    </row>
    <row r="815" spans="3:6" ht="13.2" x14ac:dyDescent="0.25">
      <c r="C815" s="5"/>
      <c r="D815" s="5"/>
      <c r="E815" s="5"/>
      <c r="F815" s="5"/>
    </row>
    <row r="816" spans="3:6" ht="13.2" x14ac:dyDescent="0.25">
      <c r="C816" s="5"/>
      <c r="D816" s="5"/>
      <c r="E816" s="5"/>
      <c r="F816" s="5"/>
    </row>
    <row r="817" spans="3:6" ht="13.2" x14ac:dyDescent="0.25">
      <c r="C817" s="5"/>
      <c r="D817" s="5"/>
      <c r="E817" s="5"/>
      <c r="F817" s="5"/>
    </row>
    <row r="818" spans="3:6" ht="13.2" x14ac:dyDescent="0.25">
      <c r="C818" s="5"/>
      <c r="D818" s="5"/>
      <c r="E818" s="5"/>
      <c r="F818" s="5"/>
    </row>
    <row r="819" spans="3:6" ht="13.2" x14ac:dyDescent="0.25">
      <c r="C819" s="5"/>
      <c r="D819" s="5"/>
      <c r="E819" s="5"/>
      <c r="F819" s="5"/>
    </row>
    <row r="820" spans="3:6" ht="13.2" x14ac:dyDescent="0.25">
      <c r="C820" s="5"/>
      <c r="D820" s="5"/>
      <c r="E820" s="5"/>
      <c r="F820" s="5"/>
    </row>
    <row r="821" spans="3:6" ht="13.2" x14ac:dyDescent="0.25">
      <c r="C821" s="5"/>
      <c r="D821" s="5"/>
      <c r="E821" s="5"/>
      <c r="F821" s="5"/>
    </row>
    <row r="822" spans="3:6" ht="13.2" x14ac:dyDescent="0.25">
      <c r="C822" s="5"/>
      <c r="D822" s="5"/>
      <c r="E822" s="5"/>
      <c r="F822" s="5"/>
    </row>
    <row r="823" spans="3:6" ht="13.2" x14ac:dyDescent="0.25">
      <c r="C823" s="5"/>
      <c r="D823" s="5"/>
      <c r="E823" s="5"/>
      <c r="F823" s="5"/>
    </row>
    <row r="824" spans="3:6" ht="13.2" x14ac:dyDescent="0.25">
      <c r="C824" s="5"/>
      <c r="D824" s="5"/>
      <c r="E824" s="5"/>
      <c r="F824" s="5"/>
    </row>
    <row r="825" spans="3:6" ht="13.2" x14ac:dyDescent="0.25">
      <c r="C825" s="5"/>
      <c r="D825" s="5"/>
      <c r="E825" s="5"/>
      <c r="F825" s="5"/>
    </row>
    <row r="826" spans="3:6" ht="13.2" x14ac:dyDescent="0.25">
      <c r="C826" s="5"/>
      <c r="D826" s="5"/>
      <c r="E826" s="5"/>
      <c r="F826" s="5"/>
    </row>
    <row r="827" spans="3:6" ht="13.2" x14ac:dyDescent="0.25">
      <c r="C827" s="5"/>
      <c r="D827" s="5"/>
      <c r="E827" s="5"/>
      <c r="F827" s="5"/>
    </row>
    <row r="828" spans="3:6" ht="13.2" x14ac:dyDescent="0.25">
      <c r="C828" s="5"/>
      <c r="D828" s="5"/>
      <c r="E828" s="5"/>
      <c r="F828" s="5"/>
    </row>
    <row r="829" spans="3:6" ht="13.2" x14ac:dyDescent="0.25">
      <c r="C829" s="5"/>
      <c r="D829" s="5"/>
      <c r="E829" s="5"/>
      <c r="F829" s="5"/>
    </row>
    <row r="830" spans="3:6" ht="13.2" x14ac:dyDescent="0.25">
      <c r="C830" s="5"/>
      <c r="D830" s="5"/>
      <c r="E830" s="5"/>
      <c r="F830" s="5"/>
    </row>
    <row r="831" spans="3:6" ht="13.2" x14ac:dyDescent="0.25">
      <c r="C831" s="5"/>
      <c r="D831" s="5"/>
      <c r="E831" s="5"/>
      <c r="F831" s="5"/>
    </row>
    <row r="832" spans="3:6" ht="13.2" x14ac:dyDescent="0.25">
      <c r="C832" s="5"/>
      <c r="D832" s="5"/>
      <c r="E832" s="5"/>
      <c r="F832" s="5"/>
    </row>
    <row r="833" spans="3:6" ht="13.2" x14ac:dyDescent="0.25">
      <c r="C833" s="5"/>
      <c r="D833" s="5"/>
      <c r="E833" s="5"/>
      <c r="F833" s="5"/>
    </row>
    <row r="834" spans="3:6" ht="13.2" x14ac:dyDescent="0.25">
      <c r="C834" s="5"/>
      <c r="D834" s="5"/>
      <c r="E834" s="5"/>
      <c r="F834" s="5"/>
    </row>
    <row r="835" spans="3:6" ht="13.2" x14ac:dyDescent="0.25">
      <c r="C835" s="5"/>
      <c r="D835" s="5"/>
      <c r="E835" s="5"/>
      <c r="F835" s="5"/>
    </row>
    <row r="836" spans="3:6" ht="13.2" x14ac:dyDescent="0.25">
      <c r="C836" s="5"/>
      <c r="D836" s="5"/>
      <c r="E836" s="5"/>
      <c r="F836" s="5"/>
    </row>
    <row r="837" spans="3:6" ht="13.2" x14ac:dyDescent="0.25">
      <c r="C837" s="5"/>
      <c r="D837" s="5"/>
      <c r="E837" s="5"/>
      <c r="F837" s="5"/>
    </row>
    <row r="838" spans="3:6" ht="13.2" x14ac:dyDescent="0.25">
      <c r="C838" s="5"/>
      <c r="D838" s="5"/>
      <c r="E838" s="5"/>
      <c r="F838" s="5"/>
    </row>
    <row r="839" spans="3:6" ht="13.2" x14ac:dyDescent="0.25">
      <c r="C839" s="5"/>
      <c r="D839" s="5"/>
      <c r="E839" s="5"/>
      <c r="F839" s="5"/>
    </row>
    <row r="840" spans="3:6" ht="13.2" x14ac:dyDescent="0.25">
      <c r="C840" s="5"/>
      <c r="D840" s="5"/>
      <c r="E840" s="5"/>
      <c r="F840" s="5"/>
    </row>
    <row r="841" spans="3:6" ht="13.2" x14ac:dyDescent="0.25">
      <c r="C841" s="5"/>
      <c r="D841" s="5"/>
      <c r="E841" s="5"/>
      <c r="F841" s="5"/>
    </row>
    <row r="842" spans="3:6" ht="13.2" x14ac:dyDescent="0.25">
      <c r="C842" s="5"/>
      <c r="D842" s="5"/>
      <c r="E842" s="5"/>
      <c r="F842" s="5"/>
    </row>
    <row r="843" spans="3:6" ht="13.2" x14ac:dyDescent="0.25">
      <c r="C843" s="5"/>
      <c r="D843" s="5"/>
      <c r="E843" s="5"/>
      <c r="F843" s="5"/>
    </row>
    <row r="844" spans="3:6" ht="13.2" x14ac:dyDescent="0.25">
      <c r="C844" s="5"/>
      <c r="D844" s="5"/>
      <c r="E844" s="5"/>
      <c r="F844" s="5"/>
    </row>
    <row r="845" spans="3:6" ht="13.2" x14ac:dyDescent="0.25">
      <c r="C845" s="5"/>
      <c r="D845" s="5"/>
      <c r="E845" s="5"/>
      <c r="F845" s="5"/>
    </row>
    <row r="846" spans="3:6" ht="13.2" x14ac:dyDescent="0.25">
      <c r="C846" s="5"/>
      <c r="D846" s="5"/>
      <c r="E846" s="5"/>
      <c r="F846" s="5"/>
    </row>
    <row r="847" spans="3:6" ht="13.2" x14ac:dyDescent="0.25">
      <c r="C847" s="5"/>
      <c r="D847" s="5"/>
      <c r="E847" s="5"/>
      <c r="F847" s="5"/>
    </row>
    <row r="848" spans="3:6" ht="13.2" x14ac:dyDescent="0.25">
      <c r="C848" s="5"/>
      <c r="D848" s="5"/>
      <c r="E848" s="5"/>
      <c r="F848" s="5"/>
    </row>
    <row r="849" spans="3:6" ht="13.2" x14ac:dyDescent="0.25">
      <c r="C849" s="5"/>
      <c r="D849" s="5"/>
      <c r="E849" s="5"/>
      <c r="F849" s="5"/>
    </row>
    <row r="850" spans="3:6" ht="13.2" x14ac:dyDescent="0.25">
      <c r="C850" s="5"/>
      <c r="D850" s="5"/>
      <c r="E850" s="5"/>
      <c r="F850" s="5"/>
    </row>
    <row r="851" spans="3:6" ht="13.2" x14ac:dyDescent="0.25">
      <c r="C851" s="5"/>
      <c r="D851" s="5"/>
      <c r="E851" s="5"/>
      <c r="F851" s="5"/>
    </row>
    <row r="852" spans="3:6" ht="13.2" x14ac:dyDescent="0.25">
      <c r="C852" s="5"/>
      <c r="D852" s="5"/>
      <c r="E852" s="5"/>
      <c r="F852" s="5"/>
    </row>
    <row r="853" spans="3:6" ht="13.2" x14ac:dyDescent="0.25">
      <c r="C853" s="5"/>
      <c r="D853" s="5"/>
      <c r="E853" s="5"/>
      <c r="F853" s="5"/>
    </row>
    <row r="854" spans="3:6" ht="13.2" x14ac:dyDescent="0.25">
      <c r="C854" s="5"/>
      <c r="D854" s="5"/>
      <c r="E854" s="5"/>
      <c r="F854" s="5"/>
    </row>
    <row r="855" spans="3:6" ht="13.2" x14ac:dyDescent="0.25">
      <c r="C855" s="5"/>
      <c r="D855" s="5"/>
      <c r="E855" s="5"/>
      <c r="F855" s="5"/>
    </row>
    <row r="856" spans="3:6" ht="13.2" x14ac:dyDescent="0.25">
      <c r="C856" s="5"/>
      <c r="D856" s="5"/>
      <c r="E856" s="5"/>
      <c r="F856" s="5"/>
    </row>
    <row r="857" spans="3:6" ht="13.2" x14ac:dyDescent="0.25">
      <c r="C857" s="5"/>
      <c r="D857" s="5"/>
      <c r="E857" s="5"/>
      <c r="F857" s="5"/>
    </row>
    <row r="858" spans="3:6" ht="13.2" x14ac:dyDescent="0.25">
      <c r="C858" s="5"/>
      <c r="D858" s="5"/>
      <c r="E858" s="5"/>
      <c r="F858" s="5"/>
    </row>
    <row r="859" spans="3:6" ht="13.2" x14ac:dyDescent="0.25">
      <c r="C859" s="5"/>
      <c r="D859" s="5"/>
      <c r="E859" s="5"/>
      <c r="F859" s="5"/>
    </row>
    <row r="860" spans="3:6" ht="13.2" x14ac:dyDescent="0.25">
      <c r="C860" s="5"/>
      <c r="D860" s="5"/>
      <c r="E860" s="5"/>
      <c r="F860" s="5"/>
    </row>
    <row r="861" spans="3:6" ht="13.2" x14ac:dyDescent="0.25">
      <c r="C861" s="5"/>
      <c r="D861" s="5"/>
      <c r="E861" s="5"/>
      <c r="F861" s="5"/>
    </row>
    <row r="862" spans="3:6" ht="13.2" x14ac:dyDescent="0.25">
      <c r="C862" s="5"/>
      <c r="D862" s="5"/>
      <c r="E862" s="5"/>
      <c r="F862" s="5"/>
    </row>
    <row r="863" spans="3:6" ht="13.2" x14ac:dyDescent="0.25">
      <c r="C863" s="5"/>
      <c r="D863" s="5"/>
      <c r="E863" s="5"/>
      <c r="F863" s="5"/>
    </row>
    <row r="864" spans="3:6" ht="13.2" x14ac:dyDescent="0.25">
      <c r="C864" s="5"/>
      <c r="D864" s="5"/>
      <c r="E864" s="5"/>
      <c r="F864" s="5"/>
    </row>
    <row r="865" spans="3:6" ht="13.2" x14ac:dyDescent="0.25">
      <c r="C865" s="5"/>
      <c r="D865" s="5"/>
      <c r="E865" s="5"/>
      <c r="F865" s="5"/>
    </row>
    <row r="866" spans="3:6" ht="13.2" x14ac:dyDescent="0.25">
      <c r="C866" s="5"/>
      <c r="D866" s="5"/>
      <c r="E866" s="5"/>
      <c r="F866" s="5"/>
    </row>
    <row r="867" spans="3:6" ht="13.2" x14ac:dyDescent="0.25">
      <c r="C867" s="5"/>
      <c r="D867" s="5"/>
      <c r="E867" s="5"/>
      <c r="F867" s="5"/>
    </row>
    <row r="868" spans="3:6" ht="13.2" x14ac:dyDescent="0.25">
      <c r="C868" s="5"/>
      <c r="D868" s="5"/>
      <c r="E868" s="5"/>
      <c r="F868" s="5"/>
    </row>
    <row r="869" spans="3:6" ht="13.2" x14ac:dyDescent="0.25">
      <c r="C869" s="5"/>
      <c r="D869" s="5"/>
      <c r="E869" s="5"/>
      <c r="F869" s="5"/>
    </row>
    <row r="870" spans="3:6" ht="13.2" x14ac:dyDescent="0.25">
      <c r="C870" s="5"/>
      <c r="D870" s="5"/>
      <c r="E870" s="5"/>
      <c r="F870" s="5"/>
    </row>
    <row r="871" spans="3:6" ht="13.2" x14ac:dyDescent="0.25">
      <c r="C871" s="5"/>
      <c r="D871" s="5"/>
      <c r="E871" s="5"/>
      <c r="F871" s="5"/>
    </row>
    <row r="872" spans="3:6" ht="13.2" x14ac:dyDescent="0.25">
      <c r="C872" s="5"/>
      <c r="D872" s="5"/>
      <c r="E872" s="5"/>
      <c r="F872" s="5"/>
    </row>
    <row r="873" spans="3:6" ht="13.2" x14ac:dyDescent="0.25">
      <c r="C873" s="5"/>
      <c r="D873" s="5"/>
      <c r="E873" s="5"/>
      <c r="F873" s="5"/>
    </row>
    <row r="874" spans="3:6" ht="13.2" x14ac:dyDescent="0.25">
      <c r="C874" s="5"/>
      <c r="D874" s="5"/>
      <c r="E874" s="5"/>
      <c r="F874" s="5"/>
    </row>
    <row r="875" spans="3:6" ht="13.2" x14ac:dyDescent="0.25">
      <c r="C875" s="5"/>
      <c r="D875" s="5"/>
      <c r="E875" s="5"/>
      <c r="F875" s="5"/>
    </row>
    <row r="876" spans="3:6" ht="13.2" x14ac:dyDescent="0.25">
      <c r="C876" s="5"/>
      <c r="D876" s="5"/>
      <c r="E876" s="5"/>
      <c r="F876" s="5"/>
    </row>
    <row r="877" spans="3:6" ht="13.2" x14ac:dyDescent="0.25">
      <c r="C877" s="5"/>
      <c r="D877" s="5"/>
      <c r="E877" s="5"/>
      <c r="F877" s="5"/>
    </row>
    <row r="878" spans="3:6" ht="13.2" x14ac:dyDescent="0.25">
      <c r="C878" s="5"/>
      <c r="D878" s="5"/>
      <c r="E878" s="5"/>
      <c r="F878" s="5"/>
    </row>
    <row r="879" spans="3:6" ht="13.2" x14ac:dyDescent="0.25">
      <c r="C879" s="5"/>
      <c r="D879" s="5"/>
      <c r="E879" s="5"/>
      <c r="F879" s="5"/>
    </row>
    <row r="880" spans="3:6" ht="13.2" x14ac:dyDescent="0.25">
      <c r="C880" s="5"/>
      <c r="D880" s="5"/>
      <c r="E880" s="5"/>
      <c r="F880" s="5"/>
    </row>
    <row r="881" spans="3:6" ht="13.2" x14ac:dyDescent="0.25">
      <c r="C881" s="5"/>
      <c r="D881" s="5"/>
      <c r="E881" s="5"/>
      <c r="F881" s="5"/>
    </row>
    <row r="882" spans="3:6" ht="13.2" x14ac:dyDescent="0.25">
      <c r="C882" s="5"/>
      <c r="D882" s="5"/>
      <c r="E882" s="5"/>
      <c r="F882" s="5"/>
    </row>
    <row r="883" spans="3:6" ht="13.2" x14ac:dyDescent="0.25">
      <c r="C883" s="5"/>
      <c r="D883" s="5"/>
      <c r="E883" s="5"/>
      <c r="F883" s="5"/>
    </row>
    <row r="884" spans="3:6" ht="13.2" x14ac:dyDescent="0.25">
      <c r="C884" s="5"/>
      <c r="D884" s="5"/>
      <c r="E884" s="5"/>
      <c r="F884" s="5"/>
    </row>
    <row r="885" spans="3:6" ht="13.2" x14ac:dyDescent="0.25">
      <c r="C885" s="5"/>
      <c r="D885" s="5"/>
      <c r="E885" s="5"/>
      <c r="F885" s="5"/>
    </row>
    <row r="886" spans="3:6" ht="13.2" x14ac:dyDescent="0.25">
      <c r="C886" s="5"/>
      <c r="D886" s="5"/>
      <c r="E886" s="5"/>
      <c r="F886" s="5"/>
    </row>
    <row r="887" spans="3:6" ht="13.2" x14ac:dyDescent="0.25">
      <c r="C887" s="5"/>
      <c r="D887" s="5"/>
      <c r="E887" s="5"/>
      <c r="F887" s="5"/>
    </row>
    <row r="888" spans="3:6" ht="13.2" x14ac:dyDescent="0.25">
      <c r="C888" s="5"/>
      <c r="D888" s="5"/>
      <c r="E888" s="5"/>
      <c r="F888" s="5"/>
    </row>
    <row r="889" spans="3:6" ht="13.2" x14ac:dyDescent="0.25">
      <c r="C889" s="5"/>
      <c r="D889" s="5"/>
      <c r="E889" s="5"/>
      <c r="F889" s="5"/>
    </row>
    <row r="890" spans="3:6" ht="13.2" x14ac:dyDescent="0.25">
      <c r="C890" s="5"/>
      <c r="D890" s="5"/>
      <c r="E890" s="5"/>
      <c r="F890" s="5"/>
    </row>
    <row r="891" spans="3:6" ht="13.2" x14ac:dyDescent="0.25">
      <c r="C891" s="5"/>
      <c r="D891" s="5"/>
      <c r="E891" s="5"/>
      <c r="F891" s="5"/>
    </row>
    <row r="892" spans="3:6" ht="13.2" x14ac:dyDescent="0.25">
      <c r="C892" s="5"/>
      <c r="D892" s="5"/>
      <c r="E892" s="5"/>
      <c r="F892" s="5"/>
    </row>
    <row r="893" spans="3:6" ht="13.2" x14ac:dyDescent="0.25">
      <c r="C893" s="5"/>
      <c r="D893" s="5"/>
      <c r="E893" s="5"/>
      <c r="F893" s="5"/>
    </row>
    <row r="894" spans="3:6" ht="13.2" x14ac:dyDescent="0.25">
      <c r="C894" s="5"/>
      <c r="D894" s="5"/>
      <c r="E894" s="5"/>
      <c r="F894" s="5"/>
    </row>
    <row r="895" spans="3:6" ht="13.2" x14ac:dyDescent="0.25">
      <c r="C895" s="5"/>
      <c r="D895" s="5"/>
      <c r="E895" s="5"/>
      <c r="F895" s="5"/>
    </row>
    <row r="896" spans="3:6" ht="13.2" x14ac:dyDescent="0.25">
      <c r="C896" s="5"/>
      <c r="D896" s="5"/>
      <c r="E896" s="5"/>
      <c r="F896" s="5"/>
    </row>
    <row r="897" spans="3:6" ht="13.2" x14ac:dyDescent="0.25">
      <c r="C897" s="5"/>
      <c r="D897" s="5"/>
      <c r="E897" s="5"/>
      <c r="F897" s="5"/>
    </row>
    <row r="898" spans="3:6" ht="13.2" x14ac:dyDescent="0.25">
      <c r="C898" s="5"/>
      <c r="D898" s="5"/>
      <c r="E898" s="5"/>
      <c r="F898" s="5"/>
    </row>
    <row r="899" spans="3:6" ht="13.2" x14ac:dyDescent="0.25">
      <c r="C899" s="5"/>
      <c r="D899" s="5"/>
      <c r="E899" s="5"/>
      <c r="F899" s="5"/>
    </row>
    <row r="900" spans="3:6" ht="13.2" x14ac:dyDescent="0.25">
      <c r="C900" s="5"/>
      <c r="D900" s="5"/>
      <c r="E900" s="5"/>
      <c r="F900" s="5"/>
    </row>
    <row r="901" spans="3:6" ht="13.2" x14ac:dyDescent="0.25">
      <c r="C901" s="5"/>
      <c r="D901" s="5"/>
      <c r="E901" s="5"/>
      <c r="F901" s="5"/>
    </row>
    <row r="902" spans="3:6" ht="13.2" x14ac:dyDescent="0.25">
      <c r="C902" s="5"/>
      <c r="D902" s="5"/>
      <c r="E902" s="5"/>
      <c r="F902" s="5"/>
    </row>
    <row r="903" spans="3:6" ht="13.2" x14ac:dyDescent="0.25">
      <c r="C903" s="5"/>
      <c r="D903" s="5"/>
      <c r="E903" s="5"/>
      <c r="F903" s="5"/>
    </row>
    <row r="904" spans="3:6" ht="13.2" x14ac:dyDescent="0.25">
      <c r="C904" s="5"/>
      <c r="D904" s="5"/>
      <c r="E904" s="5"/>
      <c r="F904" s="5"/>
    </row>
    <row r="905" spans="3:6" ht="13.2" x14ac:dyDescent="0.25">
      <c r="C905" s="5"/>
      <c r="D905" s="5"/>
      <c r="E905" s="5"/>
      <c r="F905" s="5"/>
    </row>
    <row r="906" spans="3:6" ht="13.2" x14ac:dyDescent="0.25">
      <c r="C906" s="5"/>
      <c r="D906" s="5"/>
      <c r="E906" s="5"/>
      <c r="F906" s="5"/>
    </row>
    <row r="907" spans="3:6" ht="13.2" x14ac:dyDescent="0.25">
      <c r="C907" s="5"/>
      <c r="D907" s="5"/>
      <c r="E907" s="5"/>
      <c r="F907" s="5"/>
    </row>
    <row r="908" spans="3:6" ht="13.2" x14ac:dyDescent="0.25">
      <c r="C908" s="5"/>
      <c r="D908" s="5"/>
      <c r="E908" s="5"/>
      <c r="F908" s="5"/>
    </row>
    <row r="909" spans="3:6" ht="13.2" x14ac:dyDescent="0.25">
      <c r="C909" s="5"/>
      <c r="D909" s="5"/>
      <c r="E909" s="5"/>
      <c r="F909" s="5"/>
    </row>
    <row r="910" spans="3:6" ht="13.2" x14ac:dyDescent="0.25">
      <c r="C910" s="5"/>
      <c r="D910" s="5"/>
      <c r="E910" s="5"/>
      <c r="F910" s="5"/>
    </row>
    <row r="911" spans="3:6" ht="13.2" x14ac:dyDescent="0.25">
      <c r="C911" s="5"/>
      <c r="D911" s="5"/>
      <c r="E911" s="5"/>
      <c r="F911" s="5"/>
    </row>
    <row r="912" spans="3:6" ht="13.2" x14ac:dyDescent="0.25">
      <c r="C912" s="5"/>
      <c r="D912" s="5"/>
      <c r="E912" s="5"/>
      <c r="F912" s="5"/>
    </row>
    <row r="913" spans="3:6" ht="13.2" x14ac:dyDescent="0.25">
      <c r="C913" s="5"/>
      <c r="D913" s="5"/>
      <c r="E913" s="5"/>
      <c r="F913" s="5"/>
    </row>
    <row r="914" spans="3:6" ht="13.2" x14ac:dyDescent="0.25">
      <c r="C914" s="5"/>
      <c r="D914" s="5"/>
      <c r="E914" s="5"/>
      <c r="F914" s="5"/>
    </row>
    <row r="915" spans="3:6" ht="13.2" x14ac:dyDescent="0.25">
      <c r="C915" s="5"/>
      <c r="D915" s="5"/>
      <c r="E915" s="5"/>
      <c r="F915" s="5"/>
    </row>
    <row r="916" spans="3:6" ht="13.2" x14ac:dyDescent="0.25">
      <c r="C916" s="5"/>
      <c r="D916" s="5"/>
      <c r="E916" s="5"/>
      <c r="F916" s="5"/>
    </row>
    <row r="917" spans="3:6" ht="13.2" x14ac:dyDescent="0.25">
      <c r="C917" s="5"/>
      <c r="D917" s="5"/>
      <c r="E917" s="5"/>
      <c r="F917" s="5"/>
    </row>
    <row r="918" spans="3:6" ht="13.2" x14ac:dyDescent="0.25">
      <c r="C918" s="5"/>
      <c r="D918" s="5"/>
      <c r="E918" s="5"/>
      <c r="F918" s="5"/>
    </row>
    <row r="919" spans="3:6" ht="13.2" x14ac:dyDescent="0.25">
      <c r="C919" s="5"/>
      <c r="D919" s="5"/>
      <c r="E919" s="5"/>
      <c r="F919" s="5"/>
    </row>
    <row r="920" spans="3:6" ht="13.2" x14ac:dyDescent="0.25">
      <c r="C920" s="5"/>
      <c r="D920" s="5"/>
      <c r="E920" s="5"/>
      <c r="F920" s="5"/>
    </row>
    <row r="921" spans="3:6" ht="13.2" x14ac:dyDescent="0.25">
      <c r="C921" s="5"/>
      <c r="D921" s="5"/>
      <c r="E921" s="5"/>
      <c r="F921" s="5"/>
    </row>
    <row r="922" spans="3:6" ht="13.2" x14ac:dyDescent="0.25">
      <c r="C922" s="5"/>
      <c r="D922" s="5"/>
      <c r="E922" s="5"/>
      <c r="F922" s="5"/>
    </row>
    <row r="923" spans="3:6" ht="13.2" x14ac:dyDescent="0.25">
      <c r="C923" s="5"/>
      <c r="D923" s="5"/>
      <c r="E923" s="5"/>
      <c r="F923" s="5"/>
    </row>
    <row r="924" spans="3:6" ht="13.2" x14ac:dyDescent="0.25">
      <c r="C924" s="5"/>
      <c r="D924" s="5"/>
      <c r="E924" s="5"/>
      <c r="F924" s="5"/>
    </row>
    <row r="925" spans="3:6" ht="13.2" x14ac:dyDescent="0.25">
      <c r="C925" s="5"/>
      <c r="D925" s="5"/>
      <c r="E925" s="5"/>
      <c r="F925" s="5"/>
    </row>
    <row r="926" spans="3:6" ht="13.2" x14ac:dyDescent="0.25">
      <c r="C926" s="5"/>
      <c r="D926" s="5"/>
      <c r="E926" s="5"/>
      <c r="F926" s="5"/>
    </row>
    <row r="927" spans="3:6" ht="13.2" x14ac:dyDescent="0.25">
      <c r="C927" s="5"/>
      <c r="D927" s="5"/>
      <c r="E927" s="5"/>
      <c r="F927" s="5"/>
    </row>
    <row r="928" spans="3:6" ht="13.2" x14ac:dyDescent="0.25">
      <c r="C928" s="5"/>
      <c r="D928" s="5"/>
      <c r="E928" s="5"/>
      <c r="F928" s="5"/>
    </row>
    <row r="929" spans="3:6" ht="13.2" x14ac:dyDescent="0.25">
      <c r="C929" s="5"/>
      <c r="D929" s="5"/>
      <c r="E929" s="5"/>
      <c r="F929" s="5"/>
    </row>
    <row r="930" spans="3:6" ht="13.2" x14ac:dyDescent="0.25">
      <c r="C930" s="5"/>
      <c r="D930" s="5"/>
      <c r="E930" s="5"/>
      <c r="F930" s="5"/>
    </row>
    <row r="931" spans="3:6" ht="13.2" x14ac:dyDescent="0.25">
      <c r="C931" s="5"/>
      <c r="D931" s="5"/>
      <c r="E931" s="5"/>
      <c r="F931" s="5"/>
    </row>
    <row r="932" spans="3:6" ht="13.2" x14ac:dyDescent="0.25">
      <c r="C932" s="5"/>
      <c r="D932" s="5"/>
      <c r="E932" s="5"/>
      <c r="F932" s="5"/>
    </row>
    <row r="933" spans="3:6" ht="13.2" x14ac:dyDescent="0.25">
      <c r="C933" s="5"/>
      <c r="D933" s="5"/>
      <c r="E933" s="5"/>
      <c r="F933" s="5"/>
    </row>
    <row r="934" spans="3:6" ht="13.2" x14ac:dyDescent="0.25">
      <c r="C934" s="5"/>
      <c r="D934" s="5"/>
      <c r="E934" s="5"/>
      <c r="F934" s="5"/>
    </row>
    <row r="935" spans="3:6" ht="13.2" x14ac:dyDescent="0.25">
      <c r="C935" s="5"/>
      <c r="D935" s="5"/>
      <c r="E935" s="5"/>
      <c r="F935" s="5"/>
    </row>
    <row r="936" spans="3:6" ht="13.2" x14ac:dyDescent="0.25">
      <c r="C936" s="5"/>
      <c r="D936" s="5"/>
      <c r="E936" s="5"/>
      <c r="F936" s="5"/>
    </row>
    <row r="937" spans="3:6" ht="13.2" x14ac:dyDescent="0.25">
      <c r="C937" s="5"/>
      <c r="D937" s="5"/>
      <c r="E937" s="5"/>
      <c r="F937" s="5"/>
    </row>
    <row r="938" spans="3:6" ht="13.2" x14ac:dyDescent="0.25">
      <c r="C938" s="5"/>
      <c r="D938" s="5"/>
      <c r="E938" s="5"/>
      <c r="F938" s="5"/>
    </row>
    <row r="939" spans="3:6" ht="13.2" x14ac:dyDescent="0.25">
      <c r="C939" s="5"/>
      <c r="D939" s="5"/>
      <c r="E939" s="5"/>
      <c r="F939" s="5"/>
    </row>
    <row r="940" spans="3:6" ht="13.2" x14ac:dyDescent="0.25">
      <c r="C940" s="5"/>
      <c r="D940" s="5"/>
      <c r="E940" s="5"/>
      <c r="F940" s="5"/>
    </row>
    <row r="941" spans="3:6" ht="13.2" x14ac:dyDescent="0.25">
      <c r="C941" s="5"/>
      <c r="D941" s="5"/>
      <c r="E941" s="5"/>
      <c r="F941" s="5"/>
    </row>
    <row r="942" spans="3:6" ht="13.2" x14ac:dyDescent="0.25">
      <c r="C942" s="5"/>
      <c r="D942" s="5"/>
      <c r="E942" s="5"/>
      <c r="F942" s="5"/>
    </row>
    <row r="943" spans="3:6" ht="13.2" x14ac:dyDescent="0.25">
      <c r="C943" s="5"/>
      <c r="D943" s="5"/>
      <c r="E943" s="5"/>
      <c r="F943" s="5"/>
    </row>
    <row r="944" spans="3:6" ht="13.2" x14ac:dyDescent="0.25">
      <c r="C944" s="5"/>
      <c r="D944" s="5"/>
      <c r="E944" s="5"/>
      <c r="F944" s="5"/>
    </row>
    <row r="945" spans="3:6" ht="13.2" x14ac:dyDescent="0.25">
      <c r="C945" s="5"/>
      <c r="D945" s="5"/>
      <c r="E945" s="5"/>
      <c r="F945" s="5"/>
    </row>
    <row r="946" spans="3:6" ht="13.2" x14ac:dyDescent="0.25">
      <c r="C946" s="5"/>
      <c r="D946" s="5"/>
      <c r="E946" s="5"/>
      <c r="F946" s="5"/>
    </row>
    <row r="947" spans="3:6" ht="13.2" x14ac:dyDescent="0.25">
      <c r="C947" s="5"/>
      <c r="D947" s="5"/>
      <c r="E947" s="5"/>
      <c r="F947" s="5"/>
    </row>
    <row r="948" spans="3:6" ht="13.2" x14ac:dyDescent="0.25">
      <c r="C948" s="5"/>
      <c r="D948" s="5"/>
      <c r="E948" s="5"/>
      <c r="F948" s="5"/>
    </row>
    <row r="949" spans="3:6" ht="13.2" x14ac:dyDescent="0.25">
      <c r="C949" s="5"/>
      <c r="D949" s="5"/>
      <c r="E949" s="5"/>
      <c r="F949" s="5"/>
    </row>
    <row r="950" spans="3:6" ht="13.2" x14ac:dyDescent="0.25">
      <c r="C950" s="5"/>
      <c r="D950" s="5"/>
      <c r="E950" s="5"/>
      <c r="F950" s="5"/>
    </row>
    <row r="951" spans="3:6" ht="13.2" x14ac:dyDescent="0.25">
      <c r="C951" s="5"/>
      <c r="D951" s="5"/>
      <c r="E951" s="5"/>
      <c r="F951" s="5"/>
    </row>
    <row r="952" spans="3:6" ht="13.2" x14ac:dyDescent="0.25">
      <c r="C952" s="5"/>
      <c r="D952" s="5"/>
      <c r="E952" s="5"/>
      <c r="F952" s="5"/>
    </row>
    <row r="953" spans="3:6" ht="13.2" x14ac:dyDescent="0.25">
      <c r="C953" s="5"/>
      <c r="D953" s="5"/>
      <c r="E953" s="5"/>
      <c r="F953" s="5"/>
    </row>
    <row r="954" spans="3:6" ht="13.2" x14ac:dyDescent="0.25">
      <c r="C954" s="5"/>
      <c r="D954" s="5"/>
      <c r="E954" s="5"/>
      <c r="F954" s="5"/>
    </row>
    <row r="955" spans="3:6" ht="13.2" x14ac:dyDescent="0.25">
      <c r="C955" s="5"/>
      <c r="D955" s="5"/>
      <c r="E955" s="5"/>
      <c r="F955" s="5"/>
    </row>
    <row r="956" spans="3:6" ht="13.2" x14ac:dyDescent="0.25">
      <c r="C956" s="5"/>
      <c r="D956" s="5"/>
      <c r="E956" s="5"/>
      <c r="F956" s="5"/>
    </row>
    <row r="957" spans="3:6" ht="13.2" x14ac:dyDescent="0.25">
      <c r="C957" s="5"/>
      <c r="D957" s="5"/>
      <c r="E957" s="5"/>
      <c r="F957" s="5"/>
    </row>
    <row r="958" spans="3:6" ht="13.2" x14ac:dyDescent="0.25">
      <c r="C958" s="5"/>
      <c r="D958" s="5"/>
      <c r="E958" s="5"/>
      <c r="F958" s="5"/>
    </row>
    <row r="959" spans="3:6" ht="13.2" x14ac:dyDescent="0.25">
      <c r="C959" s="5"/>
      <c r="D959" s="5"/>
      <c r="E959" s="5"/>
      <c r="F959" s="5"/>
    </row>
    <row r="960" spans="3:6" ht="13.2" x14ac:dyDescent="0.25">
      <c r="C960" s="5"/>
      <c r="D960" s="5"/>
      <c r="E960" s="5"/>
      <c r="F960" s="5"/>
    </row>
    <row r="961" spans="3:6" ht="13.2" x14ac:dyDescent="0.25">
      <c r="C961" s="5"/>
      <c r="D961" s="5"/>
      <c r="E961" s="5"/>
      <c r="F961" s="5"/>
    </row>
    <row r="962" spans="3:6" ht="13.2" x14ac:dyDescent="0.25">
      <c r="C962" s="5"/>
      <c r="D962" s="5"/>
      <c r="E962" s="5"/>
      <c r="F962" s="5"/>
    </row>
    <row r="963" spans="3:6" ht="13.2" x14ac:dyDescent="0.25">
      <c r="C963" s="5"/>
      <c r="D963" s="5"/>
      <c r="E963" s="5"/>
      <c r="F963" s="5"/>
    </row>
    <row r="964" spans="3:6" ht="13.2" x14ac:dyDescent="0.25">
      <c r="C964" s="5"/>
      <c r="D964" s="5"/>
      <c r="E964" s="5"/>
      <c r="F964" s="5"/>
    </row>
    <row r="965" spans="3:6" ht="13.2" x14ac:dyDescent="0.25">
      <c r="C965" s="5"/>
      <c r="D965" s="5"/>
      <c r="E965" s="5"/>
      <c r="F965" s="5"/>
    </row>
    <row r="966" spans="3:6" ht="13.2" x14ac:dyDescent="0.25">
      <c r="C966" s="5"/>
      <c r="D966" s="5"/>
      <c r="E966" s="5"/>
      <c r="F966" s="5"/>
    </row>
    <row r="967" spans="3:6" ht="13.2" x14ac:dyDescent="0.25">
      <c r="C967" s="5"/>
      <c r="D967" s="5"/>
      <c r="E967" s="5"/>
      <c r="F967" s="5"/>
    </row>
    <row r="968" spans="3:6" ht="13.2" x14ac:dyDescent="0.25">
      <c r="C968" s="5"/>
      <c r="D968" s="5"/>
      <c r="E968" s="5"/>
      <c r="F968" s="5"/>
    </row>
    <row r="969" spans="3:6" ht="13.2" x14ac:dyDescent="0.25">
      <c r="C969" s="5"/>
      <c r="D969" s="5"/>
      <c r="E969" s="5"/>
      <c r="F969" s="5"/>
    </row>
    <row r="970" spans="3:6" ht="13.2" x14ac:dyDescent="0.25">
      <c r="C970" s="5"/>
      <c r="D970" s="5"/>
      <c r="E970" s="5"/>
      <c r="F970" s="5"/>
    </row>
    <row r="971" spans="3:6" ht="13.2" x14ac:dyDescent="0.25">
      <c r="C971" s="5"/>
      <c r="D971" s="5"/>
      <c r="E971" s="5"/>
      <c r="F971" s="5"/>
    </row>
    <row r="972" spans="3:6" ht="13.2" x14ac:dyDescent="0.25">
      <c r="C972" s="5"/>
      <c r="D972" s="5"/>
      <c r="E972" s="5"/>
      <c r="F972" s="5"/>
    </row>
    <row r="973" spans="3:6" ht="13.2" x14ac:dyDescent="0.25">
      <c r="C973" s="5"/>
      <c r="D973" s="5"/>
      <c r="E973" s="5"/>
      <c r="F973" s="5"/>
    </row>
    <row r="974" spans="3:6" ht="13.2" x14ac:dyDescent="0.25">
      <c r="C974" s="5"/>
      <c r="D974" s="5"/>
      <c r="E974" s="5"/>
      <c r="F974" s="5"/>
    </row>
    <row r="975" spans="3:6" ht="13.2" x14ac:dyDescent="0.25">
      <c r="C975" s="5"/>
      <c r="D975" s="5"/>
      <c r="E975" s="5"/>
      <c r="F975" s="5"/>
    </row>
    <row r="976" spans="3:6" ht="13.2" x14ac:dyDescent="0.25">
      <c r="C976" s="5"/>
      <c r="D976" s="5"/>
      <c r="E976" s="5"/>
      <c r="F976" s="5"/>
    </row>
    <row r="977" spans="3:6" ht="13.2" x14ac:dyDescent="0.25">
      <c r="C977" s="5"/>
      <c r="D977" s="5"/>
      <c r="E977" s="5"/>
      <c r="F977" s="5"/>
    </row>
    <row r="978" spans="3:6" ht="13.2" x14ac:dyDescent="0.25">
      <c r="C978" s="5"/>
      <c r="D978" s="5"/>
      <c r="E978" s="5"/>
      <c r="F978" s="5"/>
    </row>
    <row r="979" spans="3:6" ht="13.2" x14ac:dyDescent="0.25">
      <c r="C979" s="5"/>
      <c r="D979" s="5"/>
      <c r="E979" s="5"/>
      <c r="F979" s="5"/>
    </row>
    <row r="980" spans="3:6" ht="13.2" x14ac:dyDescent="0.25">
      <c r="C980" s="5"/>
      <c r="D980" s="5"/>
      <c r="E980" s="5"/>
      <c r="F980" s="5"/>
    </row>
    <row r="981" spans="3:6" ht="13.2" x14ac:dyDescent="0.25">
      <c r="C981" s="5"/>
      <c r="D981" s="5"/>
      <c r="E981" s="5"/>
      <c r="F981" s="5"/>
    </row>
    <row r="982" spans="3:6" ht="13.2" x14ac:dyDescent="0.25">
      <c r="C982" s="5"/>
      <c r="D982" s="5"/>
      <c r="E982" s="5"/>
      <c r="F982" s="5"/>
    </row>
    <row r="983" spans="3:6" ht="13.2" x14ac:dyDescent="0.25">
      <c r="C983" s="5"/>
      <c r="D983" s="5"/>
      <c r="E983" s="5"/>
      <c r="F983" s="5"/>
    </row>
    <row r="984" spans="3:6" ht="13.2" x14ac:dyDescent="0.25">
      <c r="C984" s="5"/>
      <c r="D984" s="5"/>
      <c r="E984" s="5"/>
      <c r="F984" s="5"/>
    </row>
    <row r="985" spans="3:6" ht="13.2" x14ac:dyDescent="0.25">
      <c r="C985" s="5"/>
      <c r="D985" s="5"/>
      <c r="E985" s="5"/>
      <c r="F985" s="5"/>
    </row>
    <row r="986" spans="3:6" ht="13.2" x14ac:dyDescent="0.25">
      <c r="C986" s="5"/>
      <c r="D986" s="5"/>
      <c r="E986" s="5"/>
      <c r="F986" s="5"/>
    </row>
    <row r="987" spans="3:6" ht="13.2" x14ac:dyDescent="0.25">
      <c r="C987" s="5"/>
      <c r="D987" s="5"/>
      <c r="E987" s="5"/>
      <c r="F987" s="5"/>
    </row>
    <row r="988" spans="3:6" ht="13.2" x14ac:dyDescent="0.25">
      <c r="C988" s="5"/>
      <c r="D988" s="5"/>
      <c r="E988" s="5"/>
      <c r="F988" s="5"/>
    </row>
    <row r="989" spans="3:6" ht="13.2" x14ac:dyDescent="0.25">
      <c r="C989" s="5"/>
      <c r="D989" s="5"/>
      <c r="E989" s="5"/>
      <c r="F989" s="5"/>
    </row>
    <row r="990" spans="3:6" ht="13.2" x14ac:dyDescent="0.25">
      <c r="C990" s="5"/>
      <c r="D990" s="5"/>
      <c r="E990" s="5"/>
      <c r="F990" s="5"/>
    </row>
    <row r="991" spans="3:6" ht="13.2" x14ac:dyDescent="0.25">
      <c r="C991" s="5"/>
      <c r="D991" s="5"/>
      <c r="E991" s="5"/>
      <c r="F991" s="5"/>
    </row>
    <row r="992" spans="3:6" ht="13.2" x14ac:dyDescent="0.25">
      <c r="C992" s="5"/>
      <c r="D992" s="5"/>
      <c r="E992" s="5"/>
      <c r="F992" s="5"/>
    </row>
    <row r="993" spans="3:6" ht="13.2" x14ac:dyDescent="0.25">
      <c r="C993" s="5"/>
      <c r="D993" s="5"/>
      <c r="E993" s="5"/>
      <c r="F993" s="5"/>
    </row>
    <row r="994" spans="3:6" ht="13.2" x14ac:dyDescent="0.25">
      <c r="C994" s="5"/>
      <c r="D994" s="5"/>
      <c r="E994" s="5"/>
      <c r="F994" s="5"/>
    </row>
    <row r="995" spans="3:6" ht="13.2" x14ac:dyDescent="0.25">
      <c r="C995" s="5"/>
      <c r="D995" s="5"/>
      <c r="E995" s="5"/>
      <c r="F995" s="5"/>
    </row>
    <row r="996" spans="3:6" ht="13.2" x14ac:dyDescent="0.25">
      <c r="C996" s="5"/>
      <c r="D996" s="5"/>
      <c r="E996" s="5"/>
      <c r="F996" s="5"/>
    </row>
    <row r="997" spans="3:6" ht="13.2" x14ac:dyDescent="0.25">
      <c r="C997" s="5"/>
      <c r="D997" s="5"/>
      <c r="E997" s="5"/>
      <c r="F997" s="5"/>
    </row>
    <row r="998" spans="3:6" ht="13.2" x14ac:dyDescent="0.25">
      <c r="C998" s="5"/>
      <c r="D998" s="5"/>
      <c r="E998" s="5"/>
      <c r="F998" s="5"/>
    </row>
    <row r="999" spans="3:6" ht="13.2" x14ac:dyDescent="0.25">
      <c r="C999" s="5"/>
      <c r="D999" s="5"/>
      <c r="E999" s="5"/>
      <c r="F999" s="5"/>
    </row>
    <row r="1000" spans="3:6" ht="13.2" x14ac:dyDescent="0.25">
      <c r="C1000" s="5"/>
      <c r="D1000" s="5"/>
      <c r="E1000" s="5"/>
      <c r="F1000" s="5"/>
    </row>
    <row r="1001" spans="3:6" ht="13.2" x14ac:dyDescent="0.25">
      <c r="C1001" s="5"/>
      <c r="D1001" s="5"/>
      <c r="E1001" s="5"/>
      <c r="F1001" s="5"/>
    </row>
    <row r="1002" spans="3:6" ht="13.2" x14ac:dyDescent="0.25">
      <c r="C1002" s="5"/>
      <c r="D1002" s="5"/>
      <c r="E1002" s="5"/>
      <c r="F1002" s="5"/>
    </row>
    <row r="1003" spans="3:6" ht="13.2" x14ac:dyDescent="0.25">
      <c r="C1003" s="5"/>
      <c r="D1003" s="5"/>
      <c r="E1003" s="5"/>
      <c r="F1003" s="5"/>
    </row>
    <row r="1004" spans="3:6" ht="13.2" x14ac:dyDescent="0.25">
      <c r="C1004" s="5"/>
      <c r="D1004" s="5"/>
      <c r="E1004" s="5"/>
      <c r="F1004" s="5"/>
    </row>
  </sheetData>
  <mergeCells count="8">
    <mergeCell ref="I64:K64"/>
    <mergeCell ref="A1:T3"/>
    <mergeCell ref="A4:T4"/>
    <mergeCell ref="C7:F7"/>
    <mergeCell ref="A7:A8"/>
    <mergeCell ref="B7:B8"/>
    <mergeCell ref="G7:G8"/>
    <mergeCell ref="I56:K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435"/>
  <sheetViews>
    <sheetView zoomScale="55" zoomScaleNormal="55" workbookViewId="0">
      <selection activeCell="J9" sqref="J9"/>
    </sheetView>
  </sheetViews>
  <sheetFormatPr defaultColWidth="12.6640625" defaultRowHeight="15.75" customHeight="1" x14ac:dyDescent="0.25"/>
  <cols>
    <col min="1" max="8" width="12.6640625" style="1"/>
    <col min="9" max="11" width="18.5546875" style="1" customWidth="1"/>
    <col min="12" max="16384" width="12.6640625" style="1"/>
  </cols>
  <sheetData>
    <row r="1" spans="1:26" ht="15.75" customHeight="1" x14ac:dyDescent="0.25">
      <c r="A1" s="128" t="s">
        <v>430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30"/>
    </row>
    <row r="2" spans="1:26" ht="15.75" customHeigh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</row>
    <row r="3" spans="1:26" ht="15.75" customHeigh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6" ht="15.75" customHeight="1" x14ac:dyDescent="0.25">
      <c r="A4" s="134" t="s">
        <v>431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6"/>
    </row>
    <row r="7" spans="1:26" ht="21" customHeight="1" x14ac:dyDescent="0.25">
      <c r="A7" s="145" t="s">
        <v>39</v>
      </c>
      <c r="B7" s="147" t="s">
        <v>40</v>
      </c>
      <c r="C7" s="147" t="s">
        <v>2</v>
      </c>
      <c r="D7" s="147"/>
      <c r="E7" s="147"/>
      <c r="F7" s="147"/>
      <c r="G7" s="149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46"/>
      <c r="B8" s="148"/>
      <c r="C8" s="111" t="s">
        <v>4</v>
      </c>
      <c r="D8" s="111" t="s">
        <v>5</v>
      </c>
      <c r="E8" s="111" t="s">
        <v>6</v>
      </c>
      <c r="F8" s="112" t="s">
        <v>7</v>
      </c>
      <c r="G8" s="150"/>
      <c r="H8" s="2"/>
      <c r="I8" s="2"/>
      <c r="J8" s="2"/>
      <c r="K8" s="120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58">
        <v>1985</v>
      </c>
      <c r="B9" s="59"/>
      <c r="C9" s="60"/>
      <c r="D9" s="60"/>
      <c r="E9" s="60"/>
      <c r="F9" s="60"/>
      <c r="G9" s="58"/>
      <c r="H9" s="121"/>
      <c r="I9" s="121"/>
      <c r="J9" s="121"/>
      <c r="K9" s="2"/>
      <c r="L9" s="3"/>
      <c r="M9" s="122"/>
      <c r="N9" s="122"/>
      <c r="O9" s="122"/>
      <c r="P9" s="122"/>
      <c r="Q9" s="2"/>
      <c r="R9" s="121"/>
      <c r="S9" s="121"/>
      <c r="T9" s="121"/>
      <c r="U9" s="121"/>
      <c r="V9" s="121"/>
      <c r="W9" s="121"/>
      <c r="X9" s="121"/>
      <c r="Y9" s="121"/>
      <c r="Z9" s="121"/>
    </row>
    <row r="10" spans="1:26" ht="13.2" x14ac:dyDescent="0.25">
      <c r="A10" s="61" t="s">
        <v>41</v>
      </c>
      <c r="B10" s="62">
        <v>0</v>
      </c>
      <c r="C10" s="63">
        <v>0</v>
      </c>
      <c r="D10" s="15">
        <f ca="1">IFERROR(__xludf.DUMMYFUNCTION("$C4*IMPORTRANGE(""https://docs.google.com/spreadsheets/d/1xsp01RMmkav9iTy39Zaj_7tE9677EGlOJ14KU9TZn7I/"",""1985-2003!H24"")"),0)</f>
        <v>0</v>
      </c>
      <c r="E10" s="15">
        <f ca="1">IFERROR(__xludf.DUMMYFUNCTION("$C4*IMPORTRANGE(""https://docs.google.com/spreadsheets/d/1xsp01RMmkav9iTy39Zaj_7tE9677EGlOJ14KU9TZn7I/"",""1985-2003!T24"")"),0)</f>
        <v>0</v>
      </c>
      <c r="F10" s="15">
        <f ca="1">IFERROR(__xludf.DUMMYFUNCTION("$C4*IMPORTRANGE(""https://docs.google.com/spreadsheets/d/1xsp01RMmkav9iTy39Zaj_7tE9677EGlOJ14KU9TZn7I/"",""1985-2003!AC24"")"),0)</f>
        <v>0</v>
      </c>
      <c r="G10" s="61" t="s">
        <v>8</v>
      </c>
      <c r="H10" s="121"/>
      <c r="I10" s="121"/>
      <c r="J10" s="121"/>
      <c r="K10" s="2"/>
      <c r="L10" s="3"/>
      <c r="M10" s="122"/>
      <c r="N10" s="122"/>
      <c r="O10" s="122"/>
      <c r="P10" s="122"/>
      <c r="Q10" s="2"/>
      <c r="R10" s="121"/>
      <c r="S10" s="121"/>
      <c r="T10" s="121"/>
      <c r="U10" s="121"/>
      <c r="V10" s="121"/>
      <c r="W10" s="121"/>
      <c r="X10" s="121"/>
      <c r="Y10" s="121"/>
      <c r="Z10" s="121"/>
    </row>
    <row r="11" spans="1:26" ht="13.2" x14ac:dyDescent="0.25">
      <c r="A11" s="64" t="s">
        <v>42</v>
      </c>
      <c r="B11" s="65">
        <v>0</v>
      </c>
      <c r="C11" s="66">
        <v>0</v>
      </c>
      <c r="D11" s="67">
        <f ca="1">IFERROR(__xludf.DUMMYFUNCTION("$C5*IMPORTRANGE(""https://docs.google.com/spreadsheets/d/1xsp01RMmkav9iTy39Zaj_7tE9677EGlOJ14KU9TZn7I/"",""1985-2003!H45"")"),0)</f>
        <v>0</v>
      </c>
      <c r="E11" s="67">
        <f ca="1">IFERROR(__xludf.DUMMYFUNCTION("$C5*IMPORTRANGE(""https://docs.google.com/spreadsheets/d/1xsp01RMmkav9iTy39Zaj_7tE9677EGlOJ14KU9TZn7I/"",""1985-2003!T45"")"),0)</f>
        <v>0</v>
      </c>
      <c r="F11" s="67">
        <f ca="1">IFERROR(__xludf.DUMMYFUNCTION("$C5*IMPORTRANGE(""https://docs.google.com/spreadsheets/d/1xsp01RMmkav9iTy39Zaj_7tE9677EGlOJ14KU9TZn7I/"",""1985-2003!AC45"")"),0)</f>
        <v>0</v>
      </c>
      <c r="G11" s="64" t="s">
        <v>8</v>
      </c>
      <c r="H11" s="121"/>
      <c r="I11" s="121"/>
      <c r="J11" s="121"/>
      <c r="K11" s="2"/>
      <c r="L11" s="3"/>
      <c r="M11" s="122"/>
      <c r="N11" s="122"/>
      <c r="O11" s="122"/>
      <c r="P11" s="122"/>
      <c r="Q11" s="2"/>
      <c r="R11" s="121"/>
      <c r="S11" s="121"/>
      <c r="T11" s="121"/>
      <c r="U11" s="121"/>
      <c r="V11" s="121"/>
      <c r="W11" s="121"/>
      <c r="X11" s="121"/>
      <c r="Y11" s="121"/>
      <c r="Z11" s="121"/>
    </row>
    <row r="12" spans="1:26" ht="13.2" x14ac:dyDescent="0.25">
      <c r="A12" s="61" t="s">
        <v>43</v>
      </c>
      <c r="B12" s="62">
        <v>0</v>
      </c>
      <c r="C12" s="63">
        <v>0</v>
      </c>
      <c r="D12" s="15">
        <f ca="1">IFERROR(__xludf.DUMMYFUNCTION("$C6*IMPORTRANGE(""https://docs.google.com/spreadsheets/d/1xsp01RMmkav9iTy39Zaj_7tE9677EGlOJ14KU9TZn7I/"",""1985-2003!H67"")"),0)</f>
        <v>0</v>
      </c>
      <c r="E12" s="15">
        <f ca="1">IFERROR(__xludf.DUMMYFUNCTION("$C6*IMPORTRANGE(""https://docs.google.com/spreadsheets/d/1xsp01RMmkav9iTy39Zaj_7tE9677EGlOJ14KU9TZn7I/"",""1985-2003!T67"")"),0)</f>
        <v>0</v>
      </c>
      <c r="F12" s="15">
        <f ca="1">IFERROR(__xludf.DUMMYFUNCTION("$C6*IMPORTRANGE(""https://docs.google.com/spreadsheets/d/1xsp01RMmkav9iTy39Zaj_7tE9677EGlOJ14KU9TZn7I/"",""1985-2003!AC67"")"),0)</f>
        <v>0</v>
      </c>
      <c r="G12" s="61" t="s">
        <v>8</v>
      </c>
      <c r="H12" s="121"/>
      <c r="I12" s="121"/>
      <c r="J12" s="121"/>
      <c r="K12" s="2"/>
      <c r="L12" s="3"/>
      <c r="M12" s="122"/>
      <c r="N12" s="122"/>
      <c r="O12" s="122"/>
      <c r="P12" s="122"/>
      <c r="Q12" s="2"/>
      <c r="R12" s="121"/>
      <c r="S12" s="121"/>
      <c r="T12" s="121"/>
      <c r="U12" s="121"/>
      <c r="V12" s="121"/>
      <c r="W12" s="121"/>
      <c r="X12" s="121"/>
      <c r="Y12" s="121"/>
      <c r="Z12" s="121"/>
    </row>
    <row r="13" spans="1:26" ht="13.2" x14ac:dyDescent="0.25">
      <c r="A13" s="64" t="s">
        <v>44</v>
      </c>
      <c r="B13" s="65">
        <v>0</v>
      </c>
      <c r="C13" s="66">
        <v>0</v>
      </c>
      <c r="D13" s="67">
        <f ca="1">IFERROR(__xludf.DUMMYFUNCTION("$C7*IMPORTRANGE(""https://docs.google.com/spreadsheets/d/1xsp01RMmkav9iTy39Zaj_7tE9677EGlOJ14KU9TZn7I/"",""1985-2003!H90"")"),0)</f>
        <v>0</v>
      </c>
      <c r="E13" s="67">
        <f ca="1">IFERROR(__xludf.DUMMYFUNCTION("$C7*IMPORTRANGE(""https://docs.google.com/spreadsheets/d/1xsp01RMmkav9iTy39Zaj_7tE9677EGlOJ14KU9TZn7I/"",""1985-2003!T90"")"),0)</f>
        <v>0</v>
      </c>
      <c r="F13" s="67">
        <f ca="1">IFERROR(__xludf.DUMMYFUNCTION("$C7*IMPORTRANGE(""https://docs.google.com/spreadsheets/d/1xsp01RMmkav9iTy39Zaj_7tE9677EGlOJ14KU9TZn7I/"",""1985-2003!AC90"")"),0)</f>
        <v>0</v>
      </c>
      <c r="G13" s="64" t="s">
        <v>8</v>
      </c>
      <c r="H13" s="121"/>
      <c r="I13" s="121"/>
      <c r="J13" s="121"/>
      <c r="K13" s="2"/>
      <c r="L13" s="3"/>
      <c r="M13" s="122"/>
      <c r="N13" s="122"/>
      <c r="O13" s="122"/>
      <c r="P13" s="122"/>
      <c r="Q13" s="2"/>
      <c r="R13" s="121"/>
      <c r="S13" s="121"/>
      <c r="T13" s="121"/>
      <c r="U13" s="121"/>
      <c r="V13" s="121"/>
      <c r="W13" s="121"/>
      <c r="X13" s="121"/>
      <c r="Y13" s="121"/>
      <c r="Z13" s="121"/>
    </row>
    <row r="14" spans="1:26" ht="13.2" x14ac:dyDescent="0.25">
      <c r="A14" s="61" t="s">
        <v>45</v>
      </c>
      <c r="B14" s="62">
        <v>0</v>
      </c>
      <c r="C14" s="63">
        <v>0</v>
      </c>
      <c r="D14" s="15">
        <f ca="1">IFERROR(__xludf.DUMMYFUNCTION("$C8*IMPORTRANGE(""https://docs.google.com/spreadsheets/d/1xsp01RMmkav9iTy39Zaj_7tE9677EGlOJ14KU9TZn7I/"",""1985-2003!H113"")"),0)</f>
        <v>0</v>
      </c>
      <c r="E14" s="15">
        <f ca="1">IFERROR(__xludf.DUMMYFUNCTION("$C8*IMPORTRANGE(""https://docs.google.com/spreadsheets/d/1xsp01RMmkav9iTy39Zaj_7tE9677EGlOJ14KU9TZn7I/"",""1985-2003!T113"")"),0)</f>
        <v>0</v>
      </c>
      <c r="F14" s="15">
        <f ca="1">IFERROR(__xludf.DUMMYFUNCTION("$C8*IMPORTRANGE(""https://docs.google.com/spreadsheets/d/1xsp01RMmkav9iTy39Zaj_7tE9677EGlOJ14KU9TZn7I/"",""1985-2003!AC113"")"),0)</f>
        <v>0</v>
      </c>
      <c r="G14" s="61" t="s">
        <v>8</v>
      </c>
      <c r="H14" s="121"/>
      <c r="I14" s="121"/>
      <c r="J14" s="121"/>
      <c r="K14" s="2"/>
      <c r="L14" s="3"/>
      <c r="M14" s="122"/>
      <c r="N14" s="122"/>
      <c r="O14" s="122"/>
      <c r="P14" s="122"/>
      <c r="Q14" s="2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 ht="13.2" x14ac:dyDescent="0.25">
      <c r="A15" s="64" t="s">
        <v>46</v>
      </c>
      <c r="B15" s="65">
        <v>2</v>
      </c>
      <c r="C15" s="66">
        <f>150.1/1000</f>
        <v>0.15009999999999998</v>
      </c>
      <c r="D15" s="67">
        <f ca="1">IFERROR(__xludf.DUMMYFUNCTION("$C9*IMPORTRANGE(""https://docs.google.com/spreadsheets/d/1xsp01RMmkav9iTy39Zaj_7tE9677EGlOJ14KU9TZn7I/"",""1985-2003!H134"")"),0.206987899999999)</f>
        <v>0.206987899999999</v>
      </c>
      <c r="E15" s="67">
        <f ca="1">IFERROR(__xludf.DUMMYFUNCTION("$C9*IMPORTRANGE(""https://docs.google.com/spreadsheets/d/1xsp01RMmkav9iTy39Zaj_7tE9677EGlOJ14KU9TZn7I/"",""1985-2003!T134"")"),0.117340674999999)</f>
        <v>0.11734067499999901</v>
      </c>
      <c r="F15" s="67">
        <f ca="1">IFERROR(__xludf.DUMMYFUNCTION("$C9*IMPORTRANGE(""https://docs.google.com/spreadsheets/d/1xsp01RMmkav9iTy39Zaj_7tE9677EGlOJ14KU9TZn7I/"",""1985-2003!AC134"")"),37.3411275)</f>
        <v>37.341127499999999</v>
      </c>
      <c r="G15" s="64" t="s">
        <v>8</v>
      </c>
      <c r="H15" s="121"/>
      <c r="I15" s="121"/>
      <c r="J15" s="121"/>
      <c r="K15" s="2"/>
      <c r="L15" s="3"/>
      <c r="M15" s="122"/>
      <c r="N15" s="122"/>
      <c r="O15" s="122"/>
      <c r="P15" s="122"/>
      <c r="Q15" s="2"/>
      <c r="R15" s="121"/>
      <c r="S15" s="121"/>
      <c r="T15" s="121"/>
      <c r="U15" s="121"/>
      <c r="V15" s="121"/>
      <c r="W15" s="121"/>
      <c r="X15" s="121"/>
      <c r="Y15" s="121"/>
      <c r="Z15" s="121"/>
    </row>
    <row r="16" spans="1:26" ht="13.2" x14ac:dyDescent="0.25">
      <c r="A16" s="61" t="s">
        <v>47</v>
      </c>
      <c r="B16" s="62">
        <v>0</v>
      </c>
      <c r="C16" s="63">
        <v>0</v>
      </c>
      <c r="D16" s="15">
        <f ca="1">IFERROR(__xludf.DUMMYFUNCTION("$C10*IMPORTRANGE(""https://docs.google.com/spreadsheets/d/1xsp01RMmkav9iTy39Zaj_7tE9677EGlOJ14KU9TZn7I/"",""1985-2003!H158"")"),0)</f>
        <v>0</v>
      </c>
      <c r="E16" s="15">
        <f ca="1">IFERROR(__xludf.DUMMYFUNCTION("$C10*IMPORTRANGE(""https://docs.google.com/spreadsheets/d/1xsp01RMmkav9iTy39Zaj_7tE9677EGlOJ14KU9TZn7I/"",""1985-2003!T158"")"),0)</f>
        <v>0</v>
      </c>
      <c r="F16" s="15">
        <f ca="1">IFERROR(__xludf.DUMMYFUNCTION("$C10*IMPORTRANGE(""https://docs.google.com/spreadsheets/d/1xsp01RMmkav9iTy39Zaj_7tE9677EGlOJ14KU9TZn7I/"",""1985-2003!AC158"")"),0)</f>
        <v>0</v>
      </c>
      <c r="G16" s="61" t="s">
        <v>8</v>
      </c>
      <c r="H16" s="121"/>
      <c r="I16" s="121"/>
      <c r="J16" s="121"/>
      <c r="K16" s="2"/>
      <c r="L16" s="3"/>
      <c r="M16" s="122"/>
      <c r="N16" s="122"/>
      <c r="O16" s="122"/>
      <c r="P16" s="122"/>
      <c r="Q16" s="2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26" ht="13.2" x14ac:dyDescent="0.25">
      <c r="A17" s="64" t="s">
        <v>48</v>
      </c>
      <c r="B17" s="65">
        <v>0</v>
      </c>
      <c r="C17" s="66">
        <v>0</v>
      </c>
      <c r="D17" s="67">
        <f ca="1">IFERROR(__xludf.DUMMYFUNCTION("$C11*IMPORTRANGE(""https://docs.google.com/spreadsheets/d/1xsp01RMmkav9iTy39Zaj_7tE9677EGlOJ14KU9TZn7I/"",""1985-2003!H181"")"),0)</f>
        <v>0</v>
      </c>
      <c r="E17" s="67">
        <f ca="1">IFERROR(__xludf.DUMMYFUNCTION("$C11*IMPORTRANGE(""https://docs.google.com/spreadsheets/d/1xsp01RMmkav9iTy39Zaj_7tE9677EGlOJ14KU9TZn7I/"",""1985-2003!T181"")"),0)</f>
        <v>0</v>
      </c>
      <c r="F17" s="67">
        <f ca="1">IFERROR(__xludf.DUMMYFUNCTION("$C11*IMPORTRANGE(""https://docs.google.com/spreadsheets/d/1xsp01RMmkav9iTy39Zaj_7tE9677EGlOJ14KU9TZn7I/"",""1985-2003!AC181"")"),0)</f>
        <v>0</v>
      </c>
      <c r="G17" s="64" t="s">
        <v>8</v>
      </c>
      <c r="H17" s="121"/>
      <c r="I17" s="121"/>
      <c r="J17" s="121"/>
      <c r="K17" s="2"/>
      <c r="L17" s="3"/>
      <c r="M17" s="122"/>
      <c r="N17" s="122"/>
      <c r="O17" s="122"/>
      <c r="P17" s="122"/>
      <c r="Q17" s="2"/>
      <c r="R17" s="121"/>
      <c r="S17" s="121"/>
      <c r="T17" s="121"/>
      <c r="U17" s="121"/>
      <c r="V17" s="121"/>
      <c r="W17" s="121"/>
      <c r="X17" s="121"/>
      <c r="Y17" s="121"/>
      <c r="Z17" s="121"/>
    </row>
    <row r="18" spans="1:26" ht="13.2" x14ac:dyDescent="0.25">
      <c r="A18" s="61" t="s">
        <v>49</v>
      </c>
      <c r="B18" s="62">
        <v>0</v>
      </c>
      <c r="C18" s="63">
        <v>0</v>
      </c>
      <c r="D18" s="15">
        <f ca="1">IFERROR(__xludf.DUMMYFUNCTION("$C12*IMPORTRANGE(""https://docs.google.com/spreadsheets/d/1xsp01RMmkav9iTy39Zaj_7tE9677EGlOJ14KU9TZn7I/"",""1985-2003!H203"")"),0)</f>
        <v>0</v>
      </c>
      <c r="E18" s="15">
        <f ca="1">IFERROR(__xludf.DUMMYFUNCTION("$C12*IMPORTRANGE(""https://docs.google.com/spreadsheets/d/1xsp01RMmkav9iTy39Zaj_7tE9677EGlOJ14KU9TZn7I/"",""1985-2003!T203"")"),0)</f>
        <v>0</v>
      </c>
      <c r="F18" s="15">
        <f ca="1">IFERROR(__xludf.DUMMYFUNCTION("$C12*IMPORTRANGE(""https://docs.google.com/spreadsheets/d/1xsp01RMmkav9iTy39Zaj_7tE9677EGlOJ14KU9TZn7I/"",""1985-2003!AC203"")"),0)</f>
        <v>0</v>
      </c>
      <c r="G18" s="61" t="s">
        <v>8</v>
      </c>
      <c r="H18" s="121"/>
      <c r="I18" s="121"/>
      <c r="J18" s="121"/>
      <c r="K18" s="2"/>
      <c r="L18" s="3"/>
      <c r="M18" s="122"/>
      <c r="N18" s="122"/>
      <c r="O18" s="122"/>
      <c r="P18" s="122"/>
      <c r="Q18" s="2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 ht="13.2" x14ac:dyDescent="0.25">
      <c r="A19" s="64" t="s">
        <v>50</v>
      </c>
      <c r="B19" s="65">
        <v>0</v>
      </c>
      <c r="C19" s="66">
        <v>0</v>
      </c>
      <c r="D19" s="67">
        <f ca="1">IFERROR(__xludf.DUMMYFUNCTION("$C13*IMPORTRANGE(""https://docs.google.com/spreadsheets/d/1xsp01RMmkav9iTy39Zaj_7tE9677EGlOJ14KU9TZn7I/"",""1985-2003!H227"")"),0)</f>
        <v>0</v>
      </c>
      <c r="E19" s="67">
        <f ca="1">IFERROR(__xludf.DUMMYFUNCTION("$C13*IMPORTRANGE(""https://docs.google.com/spreadsheets/d/1xsp01RMmkav9iTy39Zaj_7tE9677EGlOJ14KU9TZn7I/"",""1985-2003!T227"")"),0)</f>
        <v>0</v>
      </c>
      <c r="F19" s="67">
        <f ca="1">IFERROR(__xludf.DUMMYFUNCTION("$C13*IMPORTRANGE(""https://docs.google.com/spreadsheets/d/1xsp01RMmkav9iTy39Zaj_7tE9677EGlOJ14KU9TZn7I/"",""1985-2003!AC227"")"),0)</f>
        <v>0</v>
      </c>
      <c r="G19" s="64" t="s">
        <v>8</v>
      </c>
      <c r="H19" s="121"/>
      <c r="I19" s="121"/>
      <c r="J19" s="121"/>
      <c r="K19" s="2"/>
      <c r="L19" s="3"/>
      <c r="M19" s="122"/>
      <c r="N19" s="122"/>
      <c r="O19" s="122"/>
      <c r="P19" s="122"/>
      <c r="Q19" s="2"/>
      <c r="R19" s="121"/>
      <c r="S19" s="121"/>
      <c r="T19" s="121"/>
      <c r="U19" s="121"/>
      <c r="V19" s="121"/>
      <c r="W19" s="121"/>
      <c r="X19" s="121"/>
      <c r="Y19" s="121"/>
      <c r="Z19" s="121"/>
    </row>
    <row r="20" spans="1:26" ht="13.2" x14ac:dyDescent="0.25">
      <c r="A20" s="61" t="s">
        <v>51</v>
      </c>
      <c r="B20" s="62">
        <v>0</v>
      </c>
      <c r="C20" s="63">
        <v>0</v>
      </c>
      <c r="D20" s="15">
        <f ca="1">IFERROR(__xludf.DUMMYFUNCTION("$C14*IMPORTRANGE(""https://docs.google.com/spreadsheets/d/1xsp01RMmkav9iTy39Zaj_7tE9677EGlOJ14KU9TZn7I/"",""1985-2003!H249"")"),0)</f>
        <v>0</v>
      </c>
      <c r="E20" s="15">
        <f ca="1">IFERROR(__xludf.DUMMYFUNCTION("$C14*IMPORTRANGE(""https://docs.google.com/spreadsheets/d/1xsp01RMmkav9iTy39Zaj_7tE9677EGlOJ14KU9TZn7I/"",""1985-2003!T249"")"),0)</f>
        <v>0</v>
      </c>
      <c r="F20" s="15">
        <f ca="1">IFERROR(__xludf.DUMMYFUNCTION("$C14*IMPORTRANGE(""https://docs.google.com/spreadsheets/d/1xsp01RMmkav9iTy39Zaj_7tE9677EGlOJ14KU9TZn7I/"",""1985-2003!AC249"")"),0)</f>
        <v>0</v>
      </c>
      <c r="G20" s="61" t="s">
        <v>8</v>
      </c>
      <c r="H20" s="121"/>
      <c r="I20" s="121"/>
      <c r="J20" s="121"/>
      <c r="K20" s="2"/>
      <c r="L20" s="3"/>
      <c r="M20" s="122"/>
      <c r="N20" s="122"/>
      <c r="O20" s="122"/>
      <c r="P20" s="122"/>
      <c r="Q20" s="2"/>
      <c r="R20" s="121"/>
      <c r="S20" s="121"/>
      <c r="T20" s="121"/>
      <c r="U20" s="121"/>
      <c r="V20" s="121"/>
      <c r="W20" s="121"/>
      <c r="X20" s="121"/>
      <c r="Y20" s="121"/>
      <c r="Z20" s="121"/>
    </row>
    <row r="21" spans="1:26" ht="13.2" x14ac:dyDescent="0.25">
      <c r="A21" s="68" t="s">
        <v>52</v>
      </c>
      <c r="B21" s="69">
        <v>1</v>
      </c>
      <c r="C21" s="70">
        <v>0</v>
      </c>
      <c r="D21" s="71">
        <f ca="1">IFERROR(__xludf.DUMMYFUNCTION("$C15*IMPORTRANGE(""https://docs.google.com/spreadsheets/d/1xsp01RMmkav9iTy39Zaj_7tE9677EGlOJ14KU9TZn7I/"",""1985-2003!H271"")"),0)</f>
        <v>0</v>
      </c>
      <c r="E21" s="71">
        <f ca="1">IFERROR(__xludf.DUMMYFUNCTION("$C15*IMPORTRANGE(""https://docs.google.com/spreadsheets/d/1xsp01RMmkav9iTy39Zaj_7tE9677EGlOJ14KU9TZn7I/"",""1985-2003!T271"")"),0)</f>
        <v>0</v>
      </c>
      <c r="F21" s="71">
        <f ca="1">IFERROR(__xludf.DUMMYFUNCTION("$C15*IMPORTRANGE(""https://docs.google.com/spreadsheets/d/1xsp01RMmkav9iTy39Zaj_7tE9677EGlOJ14KU9TZn7I/"",""1985-2003!AC271"")"),0)</f>
        <v>0</v>
      </c>
      <c r="G21" s="68" t="s">
        <v>8</v>
      </c>
      <c r="H21" s="121"/>
      <c r="I21" s="121"/>
      <c r="J21" s="121"/>
      <c r="K21" s="2"/>
      <c r="L21" s="3"/>
      <c r="M21" s="122"/>
      <c r="N21" s="122"/>
      <c r="O21" s="122"/>
      <c r="P21" s="122"/>
      <c r="Q21" s="2"/>
      <c r="R21" s="121"/>
      <c r="S21" s="121"/>
      <c r="T21" s="121"/>
      <c r="U21" s="121"/>
      <c r="V21" s="121"/>
      <c r="W21" s="121"/>
      <c r="X21" s="121"/>
      <c r="Y21" s="121"/>
      <c r="Z21" s="121"/>
    </row>
    <row r="22" spans="1:26" ht="13.2" x14ac:dyDescent="0.25">
      <c r="A22" s="58">
        <v>1986</v>
      </c>
      <c r="B22" s="59"/>
      <c r="C22" s="60"/>
      <c r="D22" s="60"/>
      <c r="E22" s="60"/>
      <c r="F22" s="60"/>
      <c r="G22" s="58"/>
      <c r="H22" s="121"/>
      <c r="I22" s="121"/>
      <c r="J22" s="121"/>
      <c r="K22" s="2"/>
      <c r="L22" s="3"/>
      <c r="M22" s="122"/>
      <c r="N22" s="122"/>
      <c r="O22" s="122"/>
      <c r="P22" s="122"/>
      <c r="Q22" s="2"/>
      <c r="R22" s="121"/>
      <c r="S22" s="121"/>
      <c r="T22" s="121"/>
      <c r="U22" s="121"/>
      <c r="V22" s="121"/>
      <c r="W22" s="121"/>
      <c r="X22" s="121"/>
      <c r="Y22" s="121"/>
      <c r="Z22" s="121"/>
    </row>
    <row r="23" spans="1:26" ht="13.2" x14ac:dyDescent="0.25">
      <c r="A23" s="61" t="s">
        <v>53</v>
      </c>
      <c r="B23" s="62">
        <v>0</v>
      </c>
      <c r="C23" s="63">
        <v>0</v>
      </c>
      <c r="D23" s="72">
        <f ca="1">IFERROR(__xludf.DUMMYFUNCTION("$C17*IMPORTRANGE(""https://docs.google.com/spreadsheets/d/1xsp01RMmkav9iTy39Zaj_7tE9677EGlOJ14KU9TZn7I/"",""1985-2003!H295"")"),0)</f>
        <v>0</v>
      </c>
      <c r="E23" s="72">
        <f ca="1">IFERROR(__xludf.DUMMYFUNCTION("$C17*IMPORTRANGE(""https://docs.google.com/spreadsheets/d/1xsp01RMmkav9iTy39Zaj_7tE9677EGlOJ14KU9TZn7I/"",""1985-2003!T295"")"),0)</f>
        <v>0</v>
      </c>
      <c r="F23" s="72">
        <f ca="1">IFERROR(__xludf.DUMMYFUNCTION("$C17*IMPORTRANGE(""https://docs.google.com/spreadsheets/d/1xsp01RMmkav9iTy39Zaj_7tE9677EGlOJ14KU9TZn7I/"",""1985-2003!AC295"")"),0)</f>
        <v>0</v>
      </c>
      <c r="G23" s="61" t="s">
        <v>8</v>
      </c>
      <c r="H23" s="121"/>
      <c r="I23" s="121"/>
      <c r="J23" s="121"/>
      <c r="K23" s="2"/>
      <c r="L23" s="3"/>
      <c r="M23" s="122"/>
      <c r="N23" s="122"/>
      <c r="O23" s="122"/>
      <c r="P23" s="122"/>
      <c r="Q23" s="2"/>
      <c r="R23" s="121"/>
      <c r="S23" s="121"/>
      <c r="T23" s="121"/>
      <c r="U23" s="121"/>
      <c r="V23" s="121"/>
      <c r="W23" s="121"/>
      <c r="X23" s="121"/>
      <c r="Y23" s="121"/>
      <c r="Z23" s="121"/>
    </row>
    <row r="24" spans="1:26" ht="13.2" x14ac:dyDescent="0.25">
      <c r="A24" s="73" t="s">
        <v>54</v>
      </c>
      <c r="B24" s="74">
        <v>1</v>
      </c>
      <c r="C24" s="75">
        <f>290/1000</f>
        <v>0.28999999999999998</v>
      </c>
      <c r="D24" s="76">
        <f ca="1">IFERROR(__xludf.DUMMYFUNCTION("$C18*IMPORTRANGE(""https://docs.google.com/spreadsheets/d/1xsp01RMmkav9iTy39Zaj_7tE9677EGlOJ14KU9TZn7I/"",""1985-2003!H316"")"),0.312909999999999)</f>
        <v>0.31290999999999902</v>
      </c>
      <c r="E24" s="76">
        <f ca="1">IFERROR(__xludf.DUMMYFUNCTION("$C18*IMPORTRANGE(""https://docs.google.com/spreadsheets/d/1xsp01RMmkav9iTy39Zaj_7tE9677EGlOJ14KU9TZn7I/"",""1985-2003!T316"")"),0.204392)</f>
        <v>0.20439199999999999</v>
      </c>
      <c r="F24" s="76">
        <f ca="1">IFERROR(__xludf.DUMMYFUNCTION("$C18*IMPORTRANGE(""https://docs.google.com/spreadsheets/d/1xsp01RMmkav9iTy39Zaj_7tE9677EGlOJ14KU9TZn7I/"",""1985-2003!AC316"")"),52.867)</f>
        <v>52.866999999999997</v>
      </c>
      <c r="G24" s="73" t="s">
        <v>8</v>
      </c>
      <c r="H24" s="121"/>
      <c r="I24" s="121"/>
      <c r="J24" s="121"/>
      <c r="K24" s="2"/>
      <c r="L24" s="3"/>
      <c r="M24" s="122"/>
      <c r="N24" s="122"/>
      <c r="O24" s="122"/>
      <c r="P24" s="122"/>
      <c r="Q24" s="2"/>
      <c r="R24" s="121"/>
      <c r="S24" s="121"/>
      <c r="T24" s="121"/>
      <c r="U24" s="121"/>
      <c r="V24" s="121"/>
      <c r="W24" s="121"/>
      <c r="X24" s="121"/>
      <c r="Y24" s="121"/>
      <c r="Z24" s="121"/>
    </row>
    <row r="25" spans="1:26" ht="13.2" x14ac:dyDescent="0.25">
      <c r="A25" s="61" t="s">
        <v>55</v>
      </c>
      <c r="B25" s="62">
        <v>0</v>
      </c>
      <c r="C25" s="63">
        <v>0</v>
      </c>
      <c r="D25" s="72">
        <f ca="1">IFERROR(__xludf.DUMMYFUNCTION("$C19*IMPORTRANGE(""https://docs.google.com/spreadsheets/d/1xsp01RMmkav9iTy39Zaj_7tE9677EGlOJ14KU9TZn7I/"",""1985-2003!H338"")"),0)</f>
        <v>0</v>
      </c>
      <c r="E25" s="72">
        <f ca="1">IFERROR(__xludf.DUMMYFUNCTION("$C19*IMPORTRANGE(""https://docs.google.com/spreadsheets/d/1xsp01RMmkav9iTy39Zaj_7tE9677EGlOJ14KU9TZn7I/"",""1985-2003!T338"")"),0)</f>
        <v>0</v>
      </c>
      <c r="F25" s="72">
        <f ca="1">IFERROR(__xludf.DUMMYFUNCTION("$C19*IMPORTRANGE(""https://docs.google.com/spreadsheets/d/1xsp01RMmkav9iTy39Zaj_7tE9677EGlOJ14KU9TZn7I/"",""1985-2003!AC338"")"),0)</f>
        <v>0</v>
      </c>
      <c r="G25" s="61" t="s">
        <v>8</v>
      </c>
      <c r="H25" s="121"/>
      <c r="I25" s="121"/>
      <c r="J25" s="121"/>
      <c r="K25" s="2"/>
      <c r="L25" s="3"/>
      <c r="M25" s="122"/>
      <c r="N25" s="122"/>
      <c r="O25" s="122"/>
      <c r="P25" s="122"/>
      <c r="Q25" s="2"/>
      <c r="R25" s="121"/>
      <c r="S25" s="121"/>
      <c r="T25" s="121"/>
      <c r="U25" s="121"/>
      <c r="V25" s="121"/>
      <c r="W25" s="121"/>
      <c r="X25" s="121"/>
      <c r="Y25" s="121"/>
      <c r="Z25" s="121"/>
    </row>
    <row r="26" spans="1:26" ht="13.2" x14ac:dyDescent="0.25">
      <c r="A26" s="73" t="s">
        <v>56</v>
      </c>
      <c r="B26" s="74">
        <v>0</v>
      </c>
      <c r="C26" s="75">
        <v>0</v>
      </c>
      <c r="D26" s="76">
        <f ca="1">IFERROR(__xludf.DUMMYFUNCTION("$C20*IMPORTRANGE(""https://docs.google.com/spreadsheets/d/1xsp01RMmkav9iTy39Zaj_7tE9677EGlOJ14KU9TZn7I/"",""1985-2003!H361"")"),0)</f>
        <v>0</v>
      </c>
      <c r="E26" s="76">
        <f ca="1">IFERROR(__xludf.DUMMYFUNCTION("$C20*IMPORTRANGE(""https://docs.google.com/spreadsheets/d/1xsp01RMmkav9iTy39Zaj_7tE9677EGlOJ14KU9TZn7I/"",""1985-2003!T361"")"),0)</f>
        <v>0</v>
      </c>
      <c r="F26" s="76">
        <f ca="1">IFERROR(__xludf.DUMMYFUNCTION("$C20*IMPORTRANGE(""https://docs.google.com/spreadsheets/d/1xsp01RMmkav9iTy39Zaj_7tE9677EGlOJ14KU9TZn7I/"",""1985-2003!AC361"")"),0)</f>
        <v>0</v>
      </c>
      <c r="G26" s="73" t="s">
        <v>8</v>
      </c>
      <c r="H26" s="121"/>
      <c r="I26" s="121"/>
      <c r="J26" s="121"/>
      <c r="K26" s="2"/>
      <c r="L26" s="3"/>
      <c r="M26" s="122"/>
      <c r="N26" s="122"/>
      <c r="O26" s="122"/>
      <c r="P26" s="122"/>
      <c r="Q26" s="2"/>
      <c r="R26" s="121"/>
      <c r="S26" s="121"/>
      <c r="T26" s="121"/>
      <c r="U26" s="121"/>
      <c r="V26" s="121"/>
      <c r="W26" s="121"/>
      <c r="X26" s="121"/>
      <c r="Y26" s="121"/>
      <c r="Z26" s="121"/>
    </row>
    <row r="27" spans="1:26" ht="13.2" x14ac:dyDescent="0.25">
      <c r="A27" s="61" t="s">
        <v>57</v>
      </c>
      <c r="B27" s="62">
        <v>0</v>
      </c>
      <c r="C27" s="63">
        <v>0</v>
      </c>
      <c r="D27" s="72">
        <f ca="1">IFERROR(__xludf.DUMMYFUNCTION("$C21*IMPORTRANGE(""https://docs.google.com/spreadsheets/d/1xsp01RMmkav9iTy39Zaj_7tE9677EGlOJ14KU9TZn7I/"",""1985-2003!H383"")"),0)</f>
        <v>0</v>
      </c>
      <c r="E27" s="72">
        <f ca="1">IFERROR(__xludf.DUMMYFUNCTION("$C21*IMPORTRANGE(""https://docs.google.com/spreadsheets/d/1xsp01RMmkav9iTy39Zaj_7tE9677EGlOJ14KU9TZn7I/"",""1985-2003!T383"")"),0)</f>
        <v>0</v>
      </c>
      <c r="F27" s="72">
        <f ca="1">IFERROR(__xludf.DUMMYFUNCTION("$C21*IMPORTRANGE(""https://docs.google.com/spreadsheets/d/1xsp01RMmkav9iTy39Zaj_7tE9677EGlOJ14KU9TZn7I/"",""1985-2003!AC383"")"),0)</f>
        <v>0</v>
      </c>
      <c r="G27" s="61" t="s">
        <v>8</v>
      </c>
      <c r="H27" s="121"/>
      <c r="I27" s="121"/>
      <c r="J27" s="121"/>
      <c r="K27" s="2"/>
      <c r="L27" s="3"/>
      <c r="M27" s="122"/>
      <c r="N27" s="122"/>
      <c r="O27" s="122"/>
      <c r="P27" s="122"/>
      <c r="Q27" s="2"/>
      <c r="R27" s="121"/>
      <c r="S27" s="121"/>
      <c r="T27" s="121"/>
      <c r="U27" s="121"/>
      <c r="V27" s="121"/>
      <c r="W27" s="121"/>
      <c r="X27" s="121"/>
      <c r="Y27" s="121"/>
      <c r="Z27" s="121"/>
    </row>
    <row r="28" spans="1:26" ht="13.2" x14ac:dyDescent="0.25">
      <c r="A28" s="73" t="s">
        <v>58</v>
      </c>
      <c r="B28" s="74">
        <v>0</v>
      </c>
      <c r="C28" s="75">
        <v>0</v>
      </c>
      <c r="D28" s="76">
        <f ca="1">IFERROR(__xludf.DUMMYFUNCTION("$C22*IMPORTRANGE(""https://docs.google.com/spreadsheets/d/1xsp01RMmkav9iTy39Zaj_7tE9677EGlOJ14KU9TZn7I/"",""1985-2003!H405"")"),0)</f>
        <v>0</v>
      </c>
      <c r="E28" s="76">
        <f ca="1">IFERROR(__xludf.DUMMYFUNCTION("$C22*IMPORTRANGE(""https://docs.google.com/spreadsheets/d/1xsp01RMmkav9iTy39Zaj_7tE9677EGlOJ14KU9TZn7I/"",""1985-2003!T405"")"),0)</f>
        <v>0</v>
      </c>
      <c r="F28" s="76">
        <f ca="1">IFERROR(__xludf.DUMMYFUNCTION("$C22*IMPORTRANGE(""https://docs.google.com/spreadsheets/d/1xsp01RMmkav9iTy39Zaj_7tE9677EGlOJ14KU9TZn7I/"",""1985-2003!AC405"")"),0)</f>
        <v>0</v>
      </c>
      <c r="G28" s="73" t="s">
        <v>8</v>
      </c>
      <c r="H28" s="121"/>
      <c r="I28" s="121"/>
      <c r="J28" s="121"/>
      <c r="K28" s="2"/>
      <c r="L28" s="3"/>
      <c r="M28" s="122"/>
      <c r="N28" s="122"/>
      <c r="O28" s="122"/>
      <c r="P28" s="122"/>
      <c r="Q28" s="2"/>
      <c r="R28" s="121"/>
      <c r="S28" s="121"/>
      <c r="T28" s="121"/>
      <c r="U28" s="121"/>
      <c r="V28" s="121"/>
      <c r="W28" s="121"/>
      <c r="X28" s="121"/>
      <c r="Y28" s="121"/>
      <c r="Z28" s="121"/>
    </row>
    <row r="29" spans="1:26" ht="13.2" x14ac:dyDescent="0.25">
      <c r="A29" s="61" t="s">
        <v>59</v>
      </c>
      <c r="B29" s="62">
        <v>0</v>
      </c>
      <c r="C29" s="63">
        <v>0</v>
      </c>
      <c r="D29" s="72">
        <f ca="1">IFERROR(__xludf.DUMMYFUNCTION("$C23*IMPORTRANGE(""https://docs.google.com/spreadsheets/d/1xsp01RMmkav9iTy39Zaj_7tE9677EGlOJ14KU9TZn7I/"",""1985-2003!H429"")"),0)</f>
        <v>0</v>
      </c>
      <c r="E29" s="72">
        <f ca="1">IFERROR(__xludf.DUMMYFUNCTION("$C23*IMPORTRANGE(""https://docs.google.com/spreadsheets/d/1xsp01RMmkav9iTy39Zaj_7tE9677EGlOJ14KU9TZn7I/"",""1985-2003!T429"")"),0)</f>
        <v>0</v>
      </c>
      <c r="F29" s="72">
        <f ca="1">IFERROR(__xludf.DUMMYFUNCTION("$C23*IMPORTRANGE(""https://docs.google.com/spreadsheets/d/1xsp01RMmkav9iTy39Zaj_7tE9677EGlOJ14KU9TZn7I/"",""1985-2003!AC429"")"),0)</f>
        <v>0</v>
      </c>
      <c r="G29" s="61" t="s">
        <v>8</v>
      </c>
      <c r="H29" s="121"/>
      <c r="I29" s="121"/>
      <c r="J29" s="121"/>
      <c r="K29" s="2"/>
      <c r="L29" s="3"/>
      <c r="M29" s="122"/>
      <c r="N29" s="122"/>
      <c r="O29" s="122"/>
      <c r="P29" s="122"/>
      <c r="Q29" s="2"/>
      <c r="R29" s="121"/>
      <c r="S29" s="121"/>
      <c r="T29" s="121"/>
      <c r="U29" s="121"/>
      <c r="V29" s="121"/>
      <c r="W29" s="121"/>
      <c r="X29" s="121"/>
      <c r="Y29" s="121"/>
      <c r="Z29" s="121"/>
    </row>
    <row r="30" spans="1:26" ht="13.2" x14ac:dyDescent="0.25">
      <c r="A30" s="73" t="s">
        <v>60</v>
      </c>
      <c r="B30" s="74">
        <v>0</v>
      </c>
      <c r="C30" s="75">
        <v>0</v>
      </c>
      <c r="D30" s="76">
        <f ca="1">IFERROR(__xludf.DUMMYFUNCTION("$C24*IMPORTRANGE(""https://docs.google.com/spreadsheets/d/1xsp01RMmkav9iTy39Zaj_7tE9677EGlOJ14KU9TZn7I/"",""1985-2003!H451"")"),0)</f>
        <v>0</v>
      </c>
      <c r="E30" s="76">
        <f ca="1">IFERROR(__xludf.DUMMYFUNCTION("$C24*IMPORTRANGE(""https://docs.google.com/spreadsheets/d/1xsp01RMmkav9iTy39Zaj_7tE9677EGlOJ14KU9TZn7I/"",""1985-2003!T451"")"),0)</f>
        <v>0</v>
      </c>
      <c r="F30" s="76">
        <f ca="1">IFERROR(__xludf.DUMMYFUNCTION("$C24*IMPORTRANGE(""https://docs.google.com/spreadsheets/d/1xsp01RMmkav9iTy39Zaj_7tE9677EGlOJ14KU9TZn7I/"",""1985-2003!AC451"")"),0)</f>
        <v>0</v>
      </c>
      <c r="G30" s="73" t="s">
        <v>8</v>
      </c>
      <c r="H30" s="121"/>
      <c r="I30" s="121"/>
      <c r="J30" s="121"/>
      <c r="K30" s="2"/>
      <c r="L30" s="3"/>
      <c r="M30" s="122"/>
      <c r="N30" s="122"/>
      <c r="O30" s="122"/>
      <c r="P30" s="122"/>
      <c r="Q30" s="2"/>
      <c r="R30" s="121"/>
      <c r="S30" s="121"/>
      <c r="T30" s="121"/>
      <c r="U30" s="121"/>
      <c r="V30" s="121"/>
      <c r="W30" s="121"/>
      <c r="X30" s="121"/>
      <c r="Y30" s="121"/>
      <c r="Z30" s="121"/>
    </row>
    <row r="31" spans="1:26" ht="13.2" x14ac:dyDescent="0.25">
      <c r="A31" s="61" t="s">
        <v>61</v>
      </c>
      <c r="B31" s="62">
        <v>1</v>
      </c>
      <c r="C31" s="63">
        <v>0</v>
      </c>
      <c r="D31" s="72">
        <f ca="1">IFERROR(__xludf.DUMMYFUNCTION("$C25*IMPORTRANGE(""https://docs.google.com/spreadsheets/d/1xsp01RMmkav9iTy39Zaj_7tE9677EGlOJ14KU9TZn7I/"",""1985-2003!H474"")"),0)</f>
        <v>0</v>
      </c>
      <c r="E31" s="72">
        <f ca="1">IFERROR(__xludf.DUMMYFUNCTION("$C25*IMPORTRANGE(""https://docs.google.com/spreadsheets/d/1xsp01RMmkav9iTy39Zaj_7tE9677EGlOJ14KU9TZn7I/"",""1985-2003!T474"")"),0)</f>
        <v>0</v>
      </c>
      <c r="F31" s="72">
        <f ca="1">IFERROR(__xludf.DUMMYFUNCTION("$C25*IMPORTRANGE(""https://docs.google.com/spreadsheets/d/1xsp01RMmkav9iTy39Zaj_7tE9677EGlOJ14KU9TZn7I/"",""1985-2003!AC474"")"),0)</f>
        <v>0</v>
      </c>
      <c r="G31" s="61" t="s">
        <v>8</v>
      </c>
      <c r="H31" s="121"/>
      <c r="I31" s="121"/>
      <c r="J31" s="121"/>
      <c r="K31" s="2"/>
      <c r="L31" s="3"/>
      <c r="M31" s="122"/>
      <c r="N31" s="122"/>
      <c r="O31" s="122"/>
      <c r="P31" s="122"/>
      <c r="Q31" s="2"/>
      <c r="R31" s="121"/>
      <c r="S31" s="121"/>
      <c r="T31" s="121"/>
      <c r="U31" s="121"/>
      <c r="V31" s="121"/>
      <c r="W31" s="121"/>
      <c r="X31" s="121"/>
      <c r="Y31" s="121"/>
      <c r="Z31" s="121"/>
    </row>
    <row r="32" spans="1:26" ht="13.2" x14ac:dyDescent="0.25">
      <c r="A32" s="73" t="s">
        <v>62</v>
      </c>
      <c r="B32" s="74">
        <v>1</v>
      </c>
      <c r="C32" s="75">
        <f>10.6/1000</f>
        <v>1.06E-2</v>
      </c>
      <c r="D32" s="76">
        <f ca="1">IFERROR(__xludf.DUMMYFUNCTION("$C26*IMPORTRANGE(""https://docs.google.com/spreadsheets/d/1xsp01RMmkav9iTy39Zaj_7tE9677EGlOJ14KU9TZn7I/"",""1985-2003!H498"")"),0.00996399999999999)</f>
        <v>9.9639999999999902E-3</v>
      </c>
      <c r="E32" s="76">
        <f ca="1">IFERROR(__xludf.DUMMYFUNCTION("$C26*IMPORTRANGE(""https://docs.google.com/spreadsheets/d/1xsp01RMmkav9iTy39Zaj_7tE9677EGlOJ14KU9TZn7I/"",""1985-2003!T498"")"),0.00740198)</f>
        <v>7.4019799999999998E-3</v>
      </c>
      <c r="F32" s="76">
        <f ca="1">IFERROR(__xludf.DUMMYFUNCTION("$C26*IMPORTRANGE(""https://docs.google.com/spreadsheets/d/1xsp01RMmkav9iTy39Zaj_7tE9677EGlOJ14KU9TZn7I/"",""1985-2003!AC498"")"),1.63876)</f>
        <v>1.63876</v>
      </c>
      <c r="G32" s="73" t="s">
        <v>8</v>
      </c>
      <c r="H32" s="121"/>
      <c r="I32" s="121"/>
      <c r="J32" s="121"/>
      <c r="K32" s="2"/>
      <c r="L32" s="3"/>
      <c r="M32" s="122"/>
      <c r="N32" s="122"/>
      <c r="O32" s="122"/>
      <c r="P32" s="122"/>
      <c r="Q32" s="2"/>
      <c r="R32" s="121"/>
      <c r="S32" s="121"/>
      <c r="T32" s="121"/>
      <c r="U32" s="121"/>
      <c r="V32" s="121"/>
      <c r="W32" s="121"/>
      <c r="X32" s="121"/>
      <c r="Y32" s="121"/>
      <c r="Z32" s="121"/>
    </row>
    <row r="33" spans="1:26" ht="13.2" x14ac:dyDescent="0.25">
      <c r="A33" s="61" t="s">
        <v>63</v>
      </c>
      <c r="B33" s="62">
        <v>0</v>
      </c>
      <c r="C33" s="63">
        <v>0</v>
      </c>
      <c r="D33" s="72">
        <f ca="1">IFERROR(__xludf.DUMMYFUNCTION("$C27*IMPORTRANGE(""https://docs.google.com/spreadsheets/d/1xsp01RMmkav9iTy39Zaj_7tE9677EGlOJ14KU9TZn7I/"",""1985-2003!H519"")"),0)</f>
        <v>0</v>
      </c>
      <c r="E33" s="72">
        <f ca="1">IFERROR(__xludf.DUMMYFUNCTION("$C27*IMPORTRANGE(""https://docs.google.com/spreadsheets/d/1xsp01RMmkav9iTy39Zaj_7tE9677EGlOJ14KU9TZn7I/"",""1985-2003!T519"")"),0)</f>
        <v>0</v>
      </c>
      <c r="F33" s="72">
        <f ca="1">IFERROR(__xludf.DUMMYFUNCTION("$C27*IMPORTRANGE(""https://docs.google.com/spreadsheets/d/1xsp01RMmkav9iTy39Zaj_7tE9677EGlOJ14KU9TZn7I/"",""1985-2003!AC519"")"),0)</f>
        <v>0</v>
      </c>
      <c r="G33" s="61" t="s">
        <v>8</v>
      </c>
      <c r="H33" s="121"/>
      <c r="I33" s="121"/>
      <c r="J33" s="121"/>
      <c r="K33" s="2"/>
      <c r="L33" s="3"/>
      <c r="M33" s="122"/>
      <c r="N33" s="122"/>
      <c r="O33" s="122"/>
      <c r="P33" s="122"/>
      <c r="Q33" s="2"/>
      <c r="R33" s="121"/>
      <c r="S33" s="121"/>
      <c r="T33" s="121"/>
      <c r="U33" s="121"/>
      <c r="V33" s="121"/>
      <c r="W33" s="121"/>
      <c r="X33" s="121"/>
      <c r="Y33" s="121"/>
      <c r="Z33" s="121"/>
    </row>
    <row r="34" spans="1:26" ht="13.2" x14ac:dyDescent="0.25">
      <c r="A34" s="77" t="s">
        <v>64</v>
      </c>
      <c r="B34" s="78">
        <v>1</v>
      </c>
      <c r="C34" s="79">
        <v>0</v>
      </c>
      <c r="D34" s="80">
        <f ca="1">IFERROR(__xludf.DUMMYFUNCTION("$C28*IMPORTRANGE(""https://docs.google.com/spreadsheets/d/1xsp01RMmkav9iTy39Zaj_7tE9677EGlOJ14KU9TZn7I/"",""1985-2003!H542"")"),0)</f>
        <v>0</v>
      </c>
      <c r="E34" s="80">
        <f ca="1">IFERROR(__xludf.DUMMYFUNCTION("$C28*IMPORTRANGE(""https://docs.google.com/spreadsheets/d/1xsp01RMmkav9iTy39Zaj_7tE9677EGlOJ14KU9TZn7I/"",""1985-2003!T542"")"),0)</f>
        <v>0</v>
      </c>
      <c r="F34" s="80">
        <f ca="1">IFERROR(__xludf.DUMMYFUNCTION("$C28*IMPORTRANGE(""https://docs.google.com/spreadsheets/d/1xsp01RMmkav9iTy39Zaj_7tE9677EGlOJ14KU9TZn7I/"",""1985-2003!AC542"")"),0)</f>
        <v>0</v>
      </c>
      <c r="G34" s="77" t="s">
        <v>8</v>
      </c>
      <c r="H34" s="121"/>
      <c r="I34" s="121"/>
      <c r="J34" s="121"/>
      <c r="K34" s="2"/>
      <c r="L34" s="3"/>
      <c r="M34" s="122"/>
      <c r="N34" s="122"/>
      <c r="O34" s="122"/>
      <c r="P34" s="122"/>
      <c r="Q34" s="2"/>
      <c r="R34" s="121"/>
      <c r="S34" s="121"/>
      <c r="T34" s="121"/>
      <c r="U34" s="121"/>
      <c r="V34" s="121"/>
      <c r="W34" s="121"/>
      <c r="X34" s="121"/>
      <c r="Y34" s="121"/>
      <c r="Z34" s="121"/>
    </row>
    <row r="35" spans="1:26" ht="13.2" x14ac:dyDescent="0.25">
      <c r="A35" s="58">
        <v>1987</v>
      </c>
      <c r="B35" s="59"/>
      <c r="C35" s="60"/>
      <c r="D35" s="60"/>
      <c r="E35" s="60"/>
      <c r="F35" s="60"/>
      <c r="G35" s="58"/>
      <c r="H35" s="121"/>
      <c r="I35" s="121"/>
      <c r="J35" s="121"/>
      <c r="K35" s="2"/>
      <c r="L35" s="3"/>
      <c r="M35" s="122"/>
      <c r="N35" s="122"/>
      <c r="O35" s="122"/>
      <c r="P35" s="122"/>
      <c r="Q35" s="2"/>
      <c r="R35" s="121"/>
      <c r="S35" s="121"/>
      <c r="T35" s="121"/>
      <c r="U35" s="121"/>
      <c r="V35" s="121"/>
      <c r="W35" s="121"/>
      <c r="X35" s="121"/>
      <c r="Y35" s="121"/>
      <c r="Z35" s="121"/>
    </row>
    <row r="36" spans="1:26" ht="13.2" x14ac:dyDescent="0.25">
      <c r="A36" s="61" t="s">
        <v>65</v>
      </c>
      <c r="B36" s="62">
        <v>0</v>
      </c>
      <c r="C36" s="63">
        <v>0</v>
      </c>
      <c r="D36" s="72">
        <f ca="1">IFERROR(__xludf.DUMMYFUNCTION("$C30*IMPORTRANGE(""https://docs.google.com/spreadsheets/d/1xsp01RMmkav9iTy39Zaj_7tE9677EGlOJ14KU9TZn7I/"",""1985-2003!H565"")"),0)</f>
        <v>0</v>
      </c>
      <c r="E36" s="72">
        <f ca="1">IFERROR(__xludf.DUMMYFUNCTION("$C30*IMPORTRANGE(""https://docs.google.com/spreadsheets/d/1xsp01RMmkav9iTy39Zaj_7tE9677EGlOJ14KU9TZn7I/"",""1985-2003!T565"")"),0)</f>
        <v>0</v>
      </c>
      <c r="F36" s="72">
        <f ca="1">IFERROR(__xludf.DUMMYFUNCTION("$C30*IMPORTRANGE(""https://docs.google.com/spreadsheets/d/1xsp01RMmkav9iTy39Zaj_7tE9677EGlOJ14KU9TZn7I/"",""1985-2003!AC565"")"),0)</f>
        <v>0</v>
      </c>
      <c r="G36" s="61" t="s">
        <v>8</v>
      </c>
      <c r="H36" s="121"/>
      <c r="I36" s="121"/>
      <c r="J36" s="121"/>
      <c r="K36" s="2"/>
      <c r="L36" s="3"/>
      <c r="M36" s="122"/>
      <c r="N36" s="122"/>
      <c r="O36" s="122"/>
      <c r="P36" s="122"/>
      <c r="Q36" s="2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13.2" x14ac:dyDescent="0.25">
      <c r="A37" s="73" t="s">
        <v>66</v>
      </c>
      <c r="B37" s="74">
        <v>0</v>
      </c>
      <c r="C37" s="75">
        <v>0</v>
      </c>
      <c r="D37" s="76">
        <f ca="1">IFERROR(__xludf.DUMMYFUNCTION("$C31*IMPORTRANGE(""https://docs.google.com/spreadsheets/d/1xsp01RMmkav9iTy39Zaj_7tE9677EGlOJ14KU9TZn7I/"",""1985-2003!H586"")"),0)</f>
        <v>0</v>
      </c>
      <c r="E37" s="76">
        <f ca="1">IFERROR(__xludf.DUMMYFUNCTION("$C31*IMPORTRANGE(""https://docs.google.com/spreadsheets/d/1xsp01RMmkav9iTy39Zaj_7tE9677EGlOJ14KU9TZn7I/"",""1985-2003!T586"")"),0)</f>
        <v>0</v>
      </c>
      <c r="F37" s="76">
        <f ca="1">IFERROR(__xludf.DUMMYFUNCTION("$C31*IMPORTRANGE(""https://docs.google.com/spreadsheets/d/1xsp01RMmkav9iTy39Zaj_7tE9677EGlOJ14KU9TZn7I/"",""1985-2003!AC586"")"),0)</f>
        <v>0</v>
      </c>
      <c r="G37" s="73" t="s">
        <v>8</v>
      </c>
      <c r="H37" s="121"/>
      <c r="I37" s="121"/>
      <c r="J37" s="121"/>
      <c r="K37" s="2"/>
      <c r="L37" s="3"/>
      <c r="M37" s="122"/>
      <c r="N37" s="122"/>
      <c r="O37" s="122"/>
      <c r="P37" s="122"/>
      <c r="Q37" s="2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13.2" x14ac:dyDescent="0.25">
      <c r="A38" s="61" t="s">
        <v>67</v>
      </c>
      <c r="B38" s="62">
        <v>0</v>
      </c>
      <c r="C38" s="63">
        <v>0</v>
      </c>
      <c r="D38" s="72">
        <f ca="1">IFERROR(__xludf.DUMMYFUNCTION("$C32*IMPORTRANGE(""https://docs.google.com/spreadsheets/d/1xsp01RMmkav9iTy39Zaj_7tE9677EGlOJ14KU9TZn7I/"",""1985-2003!H609"")"),0)</f>
        <v>0</v>
      </c>
      <c r="E38" s="72">
        <f ca="1">IFERROR(__xludf.DUMMYFUNCTION("$C32*IMPORTRANGE(""https://docs.google.com/spreadsheets/d/1xsp01RMmkav9iTy39Zaj_7tE9677EGlOJ14KU9TZn7I/"",""1985-2003!T609"")"),0)</f>
        <v>0</v>
      </c>
      <c r="F38" s="72">
        <f ca="1">IFERROR(__xludf.DUMMYFUNCTION("$C32*IMPORTRANGE(""https://docs.google.com/spreadsheets/d/1xsp01RMmkav9iTy39Zaj_7tE9677EGlOJ14KU9TZn7I/"",""1985-2003!AC609"")"),0)</f>
        <v>0</v>
      </c>
      <c r="G38" s="61" t="s">
        <v>8</v>
      </c>
      <c r="H38" s="121"/>
      <c r="I38" s="121"/>
      <c r="J38" s="121"/>
      <c r="K38" s="2"/>
      <c r="L38" s="3"/>
      <c r="M38" s="122"/>
      <c r="N38" s="122"/>
      <c r="O38" s="122"/>
      <c r="P38" s="122"/>
      <c r="Q38" s="2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 ht="13.2" x14ac:dyDescent="0.25">
      <c r="A39" s="73" t="s">
        <v>68</v>
      </c>
      <c r="B39" s="82">
        <v>0</v>
      </c>
      <c r="C39" s="75">
        <v>0</v>
      </c>
      <c r="D39" s="76">
        <f ca="1">IFERROR(__xludf.DUMMYFUNCTION("$C33*IMPORTRANGE(""https://docs.google.com/spreadsheets/d/1xsp01RMmkav9iTy39Zaj_7tE9677EGlOJ14KU9TZn7I/"",""1985-2003!H632"")"),0)</f>
        <v>0</v>
      </c>
      <c r="E39" s="76">
        <f ca="1">IFERROR(__xludf.DUMMYFUNCTION("$C33*IMPORTRANGE(""https://docs.google.com/spreadsheets/d/1xsp01RMmkav9iTy39Zaj_7tE9677EGlOJ14KU9TZn7I/"",""1985-2003!T632"")"),0)</f>
        <v>0</v>
      </c>
      <c r="F39" s="76">
        <f ca="1">IFERROR(__xludf.DUMMYFUNCTION("$C33*IMPORTRANGE(""https://docs.google.com/spreadsheets/d/1xsp01RMmkav9iTy39Zaj_7tE9677EGlOJ14KU9TZn7I/"",""1985-2003!AC632"")"),0)</f>
        <v>0</v>
      </c>
      <c r="G39" s="73" t="s">
        <v>8</v>
      </c>
      <c r="H39" s="121"/>
      <c r="I39" s="121"/>
      <c r="J39" s="121"/>
      <c r="K39" s="2"/>
      <c r="L39" s="3"/>
      <c r="M39" s="122"/>
      <c r="N39" s="122"/>
      <c r="O39" s="122"/>
      <c r="P39" s="122"/>
      <c r="Q39" s="2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 ht="13.2" x14ac:dyDescent="0.25">
      <c r="A40" s="61" t="s">
        <v>69</v>
      </c>
      <c r="B40" s="62">
        <v>0</v>
      </c>
      <c r="C40" s="63">
        <v>0</v>
      </c>
      <c r="D40" s="72">
        <f ca="1">IFERROR(__xludf.DUMMYFUNCTION("$C34*IMPORTRANGE(""https://docs.google.com/spreadsheets/d/1xsp01RMmkav9iTy39Zaj_7tE9677EGlOJ14KU9TZn7I/"",""1985-2003!H653"")"),0)</f>
        <v>0</v>
      </c>
      <c r="E40" s="72">
        <f ca="1">IFERROR(__xludf.DUMMYFUNCTION("$C34*IMPORTRANGE(""https://docs.google.com/spreadsheets/d/1xsp01RMmkav9iTy39Zaj_7tE9677EGlOJ14KU9TZn7I/"",""1985-2003!T653"")"),0)</f>
        <v>0</v>
      </c>
      <c r="F40" s="72">
        <f ca="1">IFERROR(__xludf.DUMMYFUNCTION("$C34*IMPORTRANGE(""https://docs.google.com/spreadsheets/d/1xsp01RMmkav9iTy39Zaj_7tE9677EGlOJ14KU9TZn7I/"",""1985-2003!AC653"")"),0)</f>
        <v>0</v>
      </c>
      <c r="G40" s="61" t="s">
        <v>8</v>
      </c>
      <c r="H40" s="121"/>
      <c r="I40" s="121"/>
      <c r="J40" s="121"/>
      <c r="K40" s="2"/>
      <c r="L40" s="3"/>
      <c r="M40" s="122"/>
      <c r="N40" s="122"/>
      <c r="O40" s="122"/>
      <c r="P40" s="122"/>
      <c r="Q40" s="2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 ht="13.2" x14ac:dyDescent="0.25">
      <c r="A41" s="73" t="s">
        <v>70</v>
      </c>
      <c r="B41" s="74">
        <v>1</v>
      </c>
      <c r="C41" s="75">
        <f>5.64/1000</f>
        <v>5.64E-3</v>
      </c>
      <c r="D41" s="76">
        <f ca="1">IFERROR(__xludf.DUMMYFUNCTION("$C35*IMPORTRANGE(""https://docs.google.com/spreadsheets/d/1xsp01RMmkav9iTy39Zaj_7tE9677EGlOJ14KU9TZn7I/"",""1985-2003!H676"")"),0.004912722)</f>
        <v>4.9127219999999996E-3</v>
      </c>
      <c r="E41" s="76">
        <f ca="1">IFERROR(__xludf.DUMMYFUNCTION("$C35*IMPORTRANGE(""https://docs.google.com/spreadsheets/d/1xsp01RMmkav9iTy39Zaj_7tE9677EGlOJ14KU9TZn7I/"",""1985-2003!T676"")"),0.00346155)</f>
        <v>3.4615499999999999E-3</v>
      </c>
      <c r="F41" s="76">
        <f ca="1">IFERROR(__xludf.DUMMYFUNCTION("$C35*IMPORTRANGE(""https://docs.google.com/spreadsheets/d/1xsp01RMmkav9iTy39Zaj_7tE9677EGlOJ14KU9TZn7I/"",""1985-2003!AC676"")"),0.815685)</f>
        <v>0.81568499999999999</v>
      </c>
      <c r="G41" s="73" t="s">
        <v>8</v>
      </c>
      <c r="H41" s="121"/>
      <c r="I41" s="121"/>
      <c r="J41" s="121"/>
      <c r="K41" s="2"/>
      <c r="L41" s="3"/>
      <c r="M41" s="122"/>
      <c r="N41" s="122"/>
      <c r="O41" s="122"/>
      <c r="P41" s="122"/>
      <c r="Q41" s="2"/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 ht="13.2" x14ac:dyDescent="0.25">
      <c r="A42" s="61" t="s">
        <v>71</v>
      </c>
      <c r="B42" s="62">
        <v>1</v>
      </c>
      <c r="C42" s="63">
        <v>0</v>
      </c>
      <c r="D42" s="72">
        <f ca="1">IFERROR(__xludf.DUMMYFUNCTION("$C36*IMPORTRANGE(""https://docs.google.com/spreadsheets/d/1xsp01RMmkav9iTy39Zaj_7tE9677EGlOJ14KU9TZn7I/"",""1985-2003!H700"")"),0)</f>
        <v>0</v>
      </c>
      <c r="E42" s="72">
        <f ca="1">IFERROR(__xludf.DUMMYFUNCTION("$C36*IMPORTRANGE(""https://docs.google.com/spreadsheets/d/1xsp01RMmkav9iTy39Zaj_7tE9677EGlOJ14KU9TZn7I/"",""1985-2003!T700"")"),0)</f>
        <v>0</v>
      </c>
      <c r="F42" s="72">
        <f ca="1">IFERROR(__xludf.DUMMYFUNCTION("$C36*IMPORTRANGE(""https://docs.google.com/spreadsheets/d/1xsp01RMmkav9iTy39Zaj_7tE9677EGlOJ14KU9TZn7I/"",""1985-2003!AC700"")"),0)</f>
        <v>0</v>
      </c>
      <c r="G42" s="61" t="s">
        <v>8</v>
      </c>
      <c r="H42" s="121"/>
      <c r="I42" s="121"/>
      <c r="J42" s="121"/>
      <c r="K42" s="2"/>
      <c r="L42" s="3"/>
      <c r="M42" s="122"/>
      <c r="N42" s="122"/>
      <c r="O42" s="122"/>
      <c r="P42" s="122"/>
      <c r="Q42" s="2"/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 ht="13.2" x14ac:dyDescent="0.25">
      <c r="A43" s="73" t="s">
        <v>72</v>
      </c>
      <c r="B43" s="74">
        <v>0</v>
      </c>
      <c r="C43" s="75">
        <v>0</v>
      </c>
      <c r="D43" s="76">
        <f ca="1">IFERROR(__xludf.DUMMYFUNCTION("$C37*IMPORTRANGE(""https://docs.google.com/spreadsheets/d/1xsp01RMmkav9iTy39Zaj_7tE9677EGlOJ14KU9TZn7I/"",""1985-2003!H722"")"),0)</f>
        <v>0</v>
      </c>
      <c r="E43" s="76">
        <f ca="1">IFERROR(__xludf.DUMMYFUNCTION("$C37*IMPORTRANGE(""https://docs.google.com/spreadsheets/d/1xsp01RMmkav9iTy39Zaj_7tE9677EGlOJ14KU9TZn7I/"",""1985-2003!AC722"")"),0)</f>
        <v>0</v>
      </c>
      <c r="F43" s="76">
        <f ca="1">IFERROR(__xludf.DUMMYFUNCTION("$C37*IMPORTRANGE(""https://docs.google.com/spreadsheets/d/1xsp01RMmkav9iTy39Zaj_7tE9677EGlOJ14KU9TZn7I/"",""1985-2003!AC722"")"),0)</f>
        <v>0</v>
      </c>
      <c r="G43" s="73" t="s">
        <v>8</v>
      </c>
      <c r="H43" s="121"/>
      <c r="I43" s="121"/>
      <c r="J43" s="121"/>
      <c r="K43" s="2"/>
      <c r="L43" s="3"/>
      <c r="M43" s="122"/>
      <c r="N43" s="122"/>
      <c r="O43" s="122"/>
      <c r="P43" s="122"/>
      <c r="Q43" s="2"/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 ht="13.2" x14ac:dyDescent="0.25">
      <c r="A44" s="61" t="s">
        <v>73</v>
      </c>
      <c r="B44" s="62">
        <v>0</v>
      </c>
      <c r="C44" s="63">
        <v>0</v>
      </c>
      <c r="D44" s="72">
        <f ca="1">IFERROR(__xludf.DUMMYFUNCTION("$C38*IMPORTRANGE(""https://docs.google.com/spreadsheets/d/1xsp01RMmkav9iTy39Zaj_7tE9677EGlOJ14KU9TZn7I/"",""1985-2003!H745"")"),0)</f>
        <v>0</v>
      </c>
      <c r="E44" s="72">
        <f ca="1">IFERROR(__xludf.DUMMYFUNCTION("$C38*IMPORTRANGE(""https://docs.google.com/spreadsheets/d/1xsp01RMmkav9iTy39Zaj_7tE9677EGlOJ14KU9TZn7I/"",""1985-2003!T745"")"),0)</f>
        <v>0</v>
      </c>
      <c r="F44" s="72">
        <f ca="1">IFERROR(__xludf.DUMMYFUNCTION("$C38*IMPORTRANGE(""https://docs.google.com/spreadsheets/d/1xsp01RMmkav9iTy39Zaj_7tE9677EGlOJ14KU9TZn7I/"",""1985-2003!AC745"")"),0)</f>
        <v>0</v>
      </c>
      <c r="G44" s="61" t="s">
        <v>8</v>
      </c>
      <c r="H44" s="121"/>
      <c r="I44" s="121"/>
      <c r="J44" s="121"/>
      <c r="K44" s="2"/>
      <c r="L44" s="3"/>
      <c r="M44" s="122"/>
      <c r="N44" s="122"/>
      <c r="O44" s="122"/>
      <c r="P44" s="122"/>
      <c r="Q44" s="2"/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 ht="13.2" x14ac:dyDescent="0.25">
      <c r="A45" s="73" t="s">
        <v>74</v>
      </c>
      <c r="B45" s="74">
        <v>0</v>
      </c>
      <c r="C45" s="75">
        <v>0</v>
      </c>
      <c r="D45" s="76">
        <f ca="1">IFERROR(__xludf.DUMMYFUNCTION("$C39*IMPORTRANGE(""https://docs.google.com/spreadsheets/d/1xsp01RMmkav9iTy39Zaj_7tE9677EGlOJ14KU9TZn7I/"",""1985-2003!H768"")"),0)</f>
        <v>0</v>
      </c>
      <c r="E45" s="76">
        <f ca="1">IFERROR(__xludf.DUMMYFUNCTION("$C39*IMPORTRANGE(""https://docs.google.com/spreadsheets/d/1xsp01RMmkav9iTy39Zaj_7tE9677EGlOJ14KU9TZn7I/"",""1985-2003!T768"")"),0)</f>
        <v>0</v>
      </c>
      <c r="F45" s="76">
        <f ca="1">IFERROR(__xludf.DUMMYFUNCTION("$C39*IMPORTRANGE(""https://docs.google.com/spreadsheets/d/1xsp01RMmkav9iTy39Zaj_7tE9677EGlOJ14KU9TZn7I/"",""1985-2003!AC768"")"),0)</f>
        <v>0</v>
      </c>
      <c r="G45" s="73" t="s">
        <v>8</v>
      </c>
      <c r="H45" s="121"/>
      <c r="I45" s="121"/>
      <c r="J45" s="121"/>
      <c r="K45" s="2"/>
      <c r="L45" s="3"/>
      <c r="M45" s="122"/>
      <c r="N45" s="122"/>
      <c r="O45" s="122"/>
      <c r="P45" s="122"/>
      <c r="Q45" s="2"/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 ht="13.2" x14ac:dyDescent="0.25">
      <c r="A46" s="61" t="s">
        <v>75</v>
      </c>
      <c r="B46" s="62">
        <v>0</v>
      </c>
      <c r="C46" s="63">
        <v>0</v>
      </c>
      <c r="D46" s="72">
        <f ca="1">IFERROR(__xludf.DUMMYFUNCTION("$C40*IMPORTRANGE(""https://docs.google.com/spreadsheets/d/1xsp01RMmkav9iTy39Zaj_7tE9677EGlOJ14KU9TZn7I/"",""1985-2003!H790"")"),0)</f>
        <v>0</v>
      </c>
      <c r="E46" s="72">
        <f ca="1">IFERROR(__xludf.DUMMYFUNCTION("$C40*IMPORTRANGE(""https://docs.google.com/spreadsheets/d/1xsp01RMmkav9iTy39Zaj_7tE9677EGlOJ14KU9TZn7I/"",""1985-2003!T790"")"),0)</f>
        <v>0</v>
      </c>
      <c r="F46" s="72">
        <f ca="1">IFERROR(__xludf.DUMMYFUNCTION("$C40*IMPORTRANGE(""https://docs.google.com/spreadsheets/d/1xsp01RMmkav9iTy39Zaj_7tE9677EGlOJ14KU9TZn7I/"",""1985-2003!AC790"")"),0)</f>
        <v>0</v>
      </c>
      <c r="G46" s="61" t="s">
        <v>8</v>
      </c>
      <c r="H46" s="121"/>
      <c r="I46" s="121"/>
      <c r="J46" s="121"/>
      <c r="K46" s="2"/>
      <c r="L46" s="3"/>
      <c r="M46" s="122"/>
      <c r="N46" s="122"/>
      <c r="O46" s="122"/>
      <c r="P46" s="122"/>
      <c r="Q46" s="2"/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 ht="13.2" x14ac:dyDescent="0.25">
      <c r="A47" s="77" t="s">
        <v>76</v>
      </c>
      <c r="B47" s="78">
        <v>0</v>
      </c>
      <c r="C47" s="79">
        <v>0</v>
      </c>
      <c r="D47" s="80">
        <f ca="1">IFERROR(__xludf.DUMMYFUNCTION("$C41*IMPORTRANGE(""https://docs.google.com/spreadsheets/d/1xsp01RMmkav9iTy39Zaj_7tE9677EGlOJ14KU9TZn7I/"",""1985-2003!H813"")"),0)</f>
        <v>0</v>
      </c>
      <c r="E47" s="80">
        <f ca="1">IFERROR(__xludf.DUMMYFUNCTION("$C41*IMPORTRANGE(""https://docs.google.com/spreadsheets/d/1xsp01RMmkav9iTy39Zaj_7tE9677EGlOJ14KU9TZn7I/"",""1985-2003!T813"")"),0)</f>
        <v>0</v>
      </c>
      <c r="F47" s="80">
        <f ca="1">IFERROR(__xludf.DUMMYFUNCTION("$C41*IMPORTRANGE(""https://docs.google.com/spreadsheets/d/1xsp01RMmkav9iTy39Zaj_7tE9677EGlOJ14KU9TZn7I/"",""1985-2003!AC813"")"),0)</f>
        <v>0</v>
      </c>
      <c r="G47" s="77" t="s">
        <v>8</v>
      </c>
      <c r="H47" s="121"/>
      <c r="I47" s="121"/>
      <c r="J47" s="121"/>
      <c r="K47" s="2"/>
      <c r="L47" s="3"/>
      <c r="M47" s="122"/>
      <c r="N47" s="122"/>
      <c r="O47" s="122"/>
      <c r="P47" s="122"/>
      <c r="Q47" s="2"/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 ht="13.2" x14ac:dyDescent="0.25">
      <c r="A48" s="58">
        <v>1988</v>
      </c>
      <c r="B48" s="59"/>
      <c r="C48" s="60"/>
      <c r="D48" s="60"/>
      <c r="E48" s="60"/>
      <c r="F48" s="60"/>
      <c r="G48" s="58"/>
      <c r="H48" s="121"/>
      <c r="I48" s="121"/>
      <c r="J48" s="121"/>
      <c r="K48" s="2"/>
      <c r="L48" s="3"/>
      <c r="M48" s="122"/>
      <c r="N48" s="122"/>
      <c r="O48" s="122"/>
      <c r="P48" s="122"/>
      <c r="Q48" s="2"/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:26" ht="13.2" x14ac:dyDescent="0.25">
      <c r="A49" s="61" t="s">
        <v>77</v>
      </c>
      <c r="B49" s="62">
        <v>0</v>
      </c>
      <c r="C49" s="63">
        <v>0</v>
      </c>
      <c r="D49" s="72">
        <f ca="1">IFERROR(__xludf.DUMMYFUNCTION("$C43*IMPORTRANGE(""https://docs.google.com/spreadsheets/d/1xsp01RMmkav9iTy39Zaj_7tE9677EGlOJ14KU9TZn7I/"",""1985-2003!H835"")"),0)</f>
        <v>0</v>
      </c>
      <c r="E49" s="72">
        <f ca="1">IFERROR(__xludf.DUMMYFUNCTION("$C43*IMPORTRANGE(""https://docs.google.com/spreadsheets/d/1xsp01RMmkav9iTy39Zaj_7tE9677EGlOJ14KU9TZn7I/"",""1985-2003!T835"")"),0)</f>
        <v>0</v>
      </c>
      <c r="F49" s="72">
        <f ca="1">IFERROR(__xludf.DUMMYFUNCTION("$C43*IMPORTRANGE(""https://docs.google.com/spreadsheets/d/1xsp01RMmkav9iTy39Zaj_7tE9677EGlOJ14KU9TZn7I/"",""1985-2003!AC835"")"),0)</f>
        <v>0</v>
      </c>
      <c r="G49" s="61" t="s">
        <v>8</v>
      </c>
      <c r="H49" s="121"/>
      <c r="I49" s="121"/>
      <c r="J49" s="121"/>
      <c r="K49" s="2"/>
      <c r="L49" s="3"/>
      <c r="M49" s="122"/>
      <c r="N49" s="122"/>
      <c r="O49" s="122"/>
      <c r="P49" s="122"/>
      <c r="Q49" s="2"/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:26" ht="13.2" x14ac:dyDescent="0.25">
      <c r="A50" s="73" t="s">
        <v>78</v>
      </c>
      <c r="B50" s="74">
        <v>0</v>
      </c>
      <c r="C50" s="75">
        <v>0</v>
      </c>
      <c r="D50" s="76">
        <f ca="1">IFERROR(__xludf.DUMMYFUNCTION("$C44*IMPORTRANGE(""https://docs.google.com/spreadsheets/d/1xsp01RMmkav9iTy39Zaj_7tE9677EGlOJ14KU9TZn7I/"",""1985-2003!H857"")"),0)</f>
        <v>0</v>
      </c>
      <c r="E50" s="76">
        <f ca="1">IFERROR(__xludf.DUMMYFUNCTION("$C44*IMPORTRANGE(""https://docs.google.com/spreadsheets/d/1xsp01RMmkav9iTy39Zaj_7tE9677EGlOJ14KU9TZn7I/"",""1985-2003!T857"")"),0)</f>
        <v>0</v>
      </c>
      <c r="F50" s="76">
        <f ca="1">IFERROR(__xludf.DUMMYFUNCTION("$C44*IMPORTRANGE(""https://docs.google.com/spreadsheets/d/1xsp01RMmkav9iTy39Zaj_7tE9677EGlOJ14KU9TZn7I/"",""1985-2003!AC857"")"),0)</f>
        <v>0</v>
      </c>
      <c r="G50" s="73" t="s">
        <v>8</v>
      </c>
      <c r="H50" s="121"/>
      <c r="I50" s="121"/>
      <c r="J50" s="121"/>
      <c r="K50" s="2"/>
      <c r="L50" s="3"/>
      <c r="M50" s="122"/>
      <c r="N50" s="122"/>
      <c r="O50" s="122"/>
      <c r="P50" s="122"/>
      <c r="Q50" s="2"/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:26" ht="13.2" x14ac:dyDescent="0.25">
      <c r="A51" s="61" t="s">
        <v>79</v>
      </c>
      <c r="B51" s="62">
        <v>0</v>
      </c>
      <c r="C51" s="63">
        <v>0</v>
      </c>
      <c r="D51" s="72">
        <f ca="1">IFERROR(__xludf.DUMMYFUNCTION("$C45*IMPORTRANGE(""https://docs.google.com/spreadsheets/d/1xsp01RMmkav9iTy39Zaj_7tE9677EGlOJ14KU9TZn7I/"",""1985-2003!H881"")"),0)</f>
        <v>0</v>
      </c>
      <c r="E51" s="72">
        <f ca="1">IFERROR(__xludf.DUMMYFUNCTION("$C45*IMPORTRANGE(""https://docs.google.com/spreadsheets/d/1xsp01RMmkav9iTy39Zaj_7tE9677EGlOJ14KU9TZn7I/"",""1985-2003!T881"")"),0)</f>
        <v>0</v>
      </c>
      <c r="F51" s="72">
        <f ca="1">IFERROR(__xludf.DUMMYFUNCTION("$C45*IMPORTRANGE(""https://docs.google.com/spreadsheets/d/1xsp01RMmkav9iTy39Zaj_7tE9677EGlOJ14KU9TZn7I/"",""1985-2003!AC881"")"),0)</f>
        <v>0</v>
      </c>
      <c r="G51" s="61" t="s">
        <v>8</v>
      </c>
      <c r="H51" s="121"/>
      <c r="I51" s="121"/>
      <c r="J51" s="121"/>
      <c r="K51" s="2"/>
      <c r="L51" s="3"/>
      <c r="M51" s="122"/>
      <c r="N51" s="122"/>
      <c r="O51" s="122"/>
      <c r="P51" s="122"/>
      <c r="Q51" s="2"/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:26" ht="13.2" x14ac:dyDescent="0.25">
      <c r="A52" s="73" t="s">
        <v>80</v>
      </c>
      <c r="B52" s="74">
        <v>2</v>
      </c>
      <c r="C52" s="75">
        <f>276/1000</f>
        <v>0.27600000000000002</v>
      </c>
      <c r="D52" s="76">
        <f ca="1">IFERROR(__xludf.DUMMYFUNCTION("$C46*IMPORTRANGE(""https://docs.google.com/spreadsheets/d/1xsp01RMmkav9iTy39Zaj_7tE9677EGlOJ14KU9TZn7I/"",""1985-2003!H903"")"),0.22149)</f>
        <v>0.22148999999999999</v>
      </c>
      <c r="E52" s="76">
        <f ca="1">IFERROR(__xludf.DUMMYFUNCTION("$C46*IMPORTRANGE(""https://docs.google.com/spreadsheets/d/1xsp01RMmkav9iTy39Zaj_7tE9677EGlOJ14KU9TZn7I/"",""1985-2003!T903"")"),0.1471632)</f>
        <v>0.14716319999999999</v>
      </c>
      <c r="F52" s="76">
        <f ca="1">IFERROR(__xludf.DUMMYFUNCTION("$C46*IMPORTRANGE(""https://docs.google.com/spreadsheets/d/1xsp01RMmkav9iTy39Zaj_7tE9677EGlOJ14KU9TZn7I/"",""1985-2003!AC903"")"),34.431)</f>
        <v>34.430999999999997</v>
      </c>
      <c r="G52" s="73" t="s">
        <v>8</v>
      </c>
      <c r="H52" s="121"/>
      <c r="I52" s="121"/>
      <c r="J52" s="121"/>
      <c r="K52" s="2"/>
      <c r="L52" s="3"/>
      <c r="M52" s="122"/>
      <c r="N52" s="122"/>
      <c r="O52" s="122"/>
      <c r="P52" s="122"/>
      <c r="Q52" s="2"/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:26" ht="13.2" x14ac:dyDescent="0.25">
      <c r="A53" s="61" t="s">
        <v>81</v>
      </c>
      <c r="B53" s="62">
        <v>0</v>
      </c>
      <c r="C53" s="63">
        <v>0</v>
      </c>
      <c r="D53" s="72">
        <f ca="1">IFERROR(__xludf.DUMMYFUNCTION("$C47*IMPORTRANGE(""https://docs.google.com/spreadsheets/d/1xsp01RMmkav9iTy39Zaj_7tE9677EGlOJ14KU9TZn7I/"",""1985-2003!H926"")"),0)</f>
        <v>0</v>
      </c>
      <c r="E53" s="72">
        <f ca="1">IFERROR(__xludf.DUMMYFUNCTION("$C47*IMPORTRANGE(""https://docs.google.com/spreadsheets/d/1xsp01RMmkav9iTy39Zaj_7tE9677EGlOJ14KU9TZn7I/"",""1985-2003!T926"")"),0)</f>
        <v>0</v>
      </c>
      <c r="F53" s="72">
        <f ca="1">IFERROR(__xludf.DUMMYFUNCTION("$C47*IMPORTRANGE(""https://docs.google.com/spreadsheets/d/1xsp01RMmkav9iTy39Zaj_7tE9677EGlOJ14KU9TZn7I/"",""1985-2003!AC926"")"),0)</f>
        <v>0</v>
      </c>
      <c r="G53" s="61" t="s">
        <v>8</v>
      </c>
      <c r="H53" s="121"/>
      <c r="I53" s="121"/>
      <c r="J53" s="121"/>
      <c r="K53" s="2"/>
      <c r="L53" s="3"/>
      <c r="M53" s="122"/>
      <c r="N53" s="122"/>
      <c r="O53" s="122"/>
      <c r="P53" s="122"/>
      <c r="Q53" s="2"/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:26" ht="13.2" x14ac:dyDescent="0.25">
      <c r="A54" s="73" t="s">
        <v>82</v>
      </c>
      <c r="B54" s="74">
        <v>0</v>
      </c>
      <c r="C54" s="75">
        <v>0</v>
      </c>
      <c r="D54" s="76">
        <f ca="1">IFERROR(__xludf.DUMMYFUNCTION("$C48*IMPORTRANGE(""https://docs.google.com/spreadsheets/d/1xsp01RMmkav9iTy39Zaj_7tE9677EGlOJ14KU9TZn7I/"",""1985-2003!H949"")"),0)</f>
        <v>0</v>
      </c>
      <c r="E54" s="76">
        <f ca="1">IFERROR(__xludf.DUMMYFUNCTION("$C48*IMPORTRANGE(""https://docs.google.com/spreadsheets/d/1xsp01RMmkav9iTy39Zaj_7tE9677EGlOJ14KU9TZn7I/"",""1985-2003!T949"")"),0)</f>
        <v>0</v>
      </c>
      <c r="F54" s="76">
        <f ca="1">IFERROR(__xludf.DUMMYFUNCTION("$C48*IMPORTRANGE(""https://docs.google.com/spreadsheets/d/1xsp01RMmkav9iTy39Zaj_7tE9677EGlOJ14KU9TZn7I/"",""1985-2003!AC949"")"),0)</f>
        <v>0</v>
      </c>
      <c r="G54" s="73" t="s">
        <v>8</v>
      </c>
      <c r="H54" s="121"/>
      <c r="I54" s="121"/>
      <c r="J54" s="121"/>
      <c r="K54" s="2"/>
      <c r="L54" s="3"/>
      <c r="M54" s="122"/>
      <c r="N54" s="122"/>
      <c r="O54" s="122"/>
      <c r="P54" s="122"/>
      <c r="Q54" s="2"/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:26" ht="13.2" x14ac:dyDescent="0.25">
      <c r="A55" s="61" t="s">
        <v>83</v>
      </c>
      <c r="B55" s="62">
        <v>0</v>
      </c>
      <c r="C55" s="63">
        <v>0</v>
      </c>
      <c r="D55" s="72">
        <f ca="1">IFERROR(__xludf.DUMMYFUNCTION("$C49*IMPORTRANGE(""https://docs.google.com/spreadsheets/d/1xsp01RMmkav9iTy39Zaj_7tE9677EGlOJ14KU9TZn7I/"",""1985-2003!H971"")"),0)</f>
        <v>0</v>
      </c>
      <c r="E55" s="72">
        <f ca="1">IFERROR(__xludf.DUMMYFUNCTION("$C49*IMPORTRANGE(""https://docs.google.com/spreadsheets/d/1xsp01RMmkav9iTy39Zaj_7tE9677EGlOJ14KU9TZn7I/"",""1985-2003!T971"")"),0)</f>
        <v>0</v>
      </c>
      <c r="F55" s="72">
        <f ca="1">IFERROR(__xludf.DUMMYFUNCTION("$C49*IMPORTRANGE(""https://docs.google.com/spreadsheets/d/1xsp01RMmkav9iTy39Zaj_7tE9677EGlOJ14KU9TZn7I/"",""1985-2003!AC971"")"),0)</f>
        <v>0</v>
      </c>
      <c r="G55" s="61" t="s">
        <v>8</v>
      </c>
      <c r="H55" s="121"/>
      <c r="I55" s="121"/>
      <c r="J55" s="121"/>
      <c r="K55" s="2"/>
      <c r="L55" s="3"/>
      <c r="M55" s="122"/>
      <c r="N55" s="122"/>
      <c r="O55" s="122"/>
      <c r="P55" s="122"/>
      <c r="Q55" s="2"/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:26" ht="13.2" x14ac:dyDescent="0.25">
      <c r="A56" s="73" t="s">
        <v>84</v>
      </c>
      <c r="B56" s="74">
        <v>0</v>
      </c>
      <c r="C56" s="75">
        <v>0</v>
      </c>
      <c r="D56" s="76">
        <f ca="1">IFERROR(__xludf.DUMMYFUNCTION("$C50*IMPORTRANGE(""https://docs.google.com/spreadsheets/d/1xsp01RMmkav9iTy39Zaj_7tE9677EGlOJ14KU9TZn7I/"",""1985-2003!H995"")"),0)</f>
        <v>0</v>
      </c>
      <c r="E56" s="76">
        <f ca="1">IFERROR(__xludf.DUMMYFUNCTION("$C50*IMPORTRANGE(""https://docs.google.com/spreadsheets/d/1xsp01RMmkav9iTy39Zaj_7tE9677EGlOJ14KU9TZn7I/"",""1985-2003!T995"")"),0)</f>
        <v>0</v>
      </c>
      <c r="F56" s="76">
        <f ca="1">IFERROR(__xludf.DUMMYFUNCTION("$C50*IMPORTRANGE(""https://docs.google.com/spreadsheets/d/1xsp01RMmkav9iTy39Zaj_7tE9677EGlOJ14KU9TZn7I/"",""1985-2003!AC995"")"),0)</f>
        <v>0</v>
      </c>
      <c r="G56" s="73" t="s">
        <v>8</v>
      </c>
      <c r="H56" s="121"/>
      <c r="I56" s="121"/>
      <c r="J56" s="121"/>
      <c r="K56" s="2"/>
      <c r="L56" s="3"/>
      <c r="M56" s="122"/>
      <c r="N56" s="122"/>
      <c r="O56" s="122"/>
      <c r="P56" s="122"/>
      <c r="Q56" s="2"/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:26" ht="13.2" x14ac:dyDescent="0.25">
      <c r="A57" s="61" t="s">
        <v>85</v>
      </c>
      <c r="B57" s="62">
        <v>1</v>
      </c>
      <c r="C57" s="63">
        <f>286.4/1000</f>
        <v>0.28639999999999999</v>
      </c>
      <c r="D57" s="72">
        <f ca="1">IFERROR(__xludf.DUMMYFUNCTION("$C51*IMPORTRANGE(""https://docs.google.com/spreadsheets/d/1xsp01RMmkav9iTy39Zaj_7tE9677EGlOJ14KU9TZn7I/"",""1985-2003!H1018"")"),0.258060719999999)</f>
        <v>0.25806071999999902</v>
      </c>
      <c r="E57" s="72">
        <f ca="1">IFERROR(__xludf.DUMMYFUNCTION("$C51*IMPORTRANGE(""https://docs.google.com/spreadsheets/d/1xsp01RMmkav9iTy39Zaj_7tE9677EGlOJ14KU9TZn7I/"",""1985-2003!T1018"")"),0.170493919999999)</f>
        <v>0.17049391999999899</v>
      </c>
      <c r="F57" s="72">
        <f ca="1">IFERROR(__xludf.DUMMYFUNCTION("$C51*IMPORTRANGE(""https://docs.google.com/spreadsheets/d/1xsp01RMmkav9iTy39Zaj_7tE9677EGlOJ14KU9TZn7I/"",""1985-2003!AC1018"")"),38.381896)</f>
        <v>38.381895999999998</v>
      </c>
      <c r="G57" s="61" t="s">
        <v>8</v>
      </c>
      <c r="H57" s="121"/>
      <c r="I57" s="121"/>
      <c r="J57" s="121"/>
      <c r="K57" s="2"/>
      <c r="L57" s="3"/>
      <c r="M57" s="122"/>
      <c r="N57" s="122"/>
      <c r="O57" s="122"/>
      <c r="P57" s="122"/>
      <c r="Q57" s="2"/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:26" ht="13.2" x14ac:dyDescent="0.25">
      <c r="A58" s="73" t="s">
        <v>86</v>
      </c>
      <c r="B58" s="74">
        <v>0</v>
      </c>
      <c r="C58" s="75">
        <v>0</v>
      </c>
      <c r="D58" s="76">
        <f ca="1">IFERROR(__xludf.DUMMYFUNCTION("$C52*IMPORTRANGE(""https://docs.google.com/spreadsheets/d/1xsp01RMmkav9iTy39Zaj_7tE9677EGlOJ14KU9TZn7I/"",""1985-2003!H1040"")"),0)</f>
        <v>0</v>
      </c>
      <c r="E58" s="76">
        <f ca="1">IFERROR(__xludf.DUMMYFUNCTION("$C52*IMPORTRANGE(""https://docs.google.com/spreadsheets/d/1xsp01RMmkav9iTy39Zaj_7tE9677EGlOJ14KU9TZn7I/"",""1985-2003!T1040"")"),0)</f>
        <v>0</v>
      </c>
      <c r="F58" s="76">
        <f ca="1">IFERROR(__xludf.DUMMYFUNCTION("$C52*IMPORTRANGE(""https://docs.google.com/spreadsheets/d/1xsp01RMmkav9iTy39Zaj_7tE9677EGlOJ14KU9TZn7I/"",""1985-2003!AC1040"")"),0)</f>
        <v>0</v>
      </c>
      <c r="G58" s="73" t="s">
        <v>8</v>
      </c>
      <c r="H58" s="121"/>
      <c r="I58" s="121"/>
      <c r="J58" s="121"/>
      <c r="K58" s="2"/>
      <c r="L58" s="3"/>
      <c r="M58" s="122"/>
      <c r="N58" s="122"/>
      <c r="O58" s="122"/>
      <c r="P58" s="122"/>
      <c r="Q58" s="2"/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:26" ht="13.2" x14ac:dyDescent="0.25">
      <c r="A59" s="61" t="s">
        <v>87</v>
      </c>
      <c r="B59" s="62">
        <v>0</v>
      </c>
      <c r="C59" s="63">
        <v>0</v>
      </c>
      <c r="D59" s="72">
        <f ca="1">IFERROR(__xludf.DUMMYFUNCTION("$C53*IMPORTRANGE(""https://docs.google.com/spreadsheets/d/1xsp01RMmkav9iTy39Zaj_7tE9677EGlOJ14KU9TZn7I/"",""1985-2003!H1063"")"),0)</f>
        <v>0</v>
      </c>
      <c r="E59" s="72">
        <f ca="1">IFERROR(__xludf.DUMMYFUNCTION("$C53*IMPORTRANGE(""https://docs.google.com/spreadsheets/d/1xsp01RMmkav9iTy39Zaj_7tE9677EGlOJ14KU9TZn7I/"",""1985-2003!T1063"")"),0)</f>
        <v>0</v>
      </c>
      <c r="F59" s="72">
        <f ca="1">IFERROR(__xludf.DUMMYFUNCTION("$C53*IMPORTRANGE(""https://docs.google.com/spreadsheets/d/1xsp01RMmkav9iTy39Zaj_7tE9677EGlOJ14KU9TZn7I/"",""1985-2003!AC1063"")"),0)</f>
        <v>0</v>
      </c>
      <c r="G59" s="61" t="s">
        <v>8</v>
      </c>
      <c r="H59" s="121"/>
      <c r="I59" s="121"/>
      <c r="J59" s="121"/>
      <c r="K59" s="2"/>
      <c r="L59" s="3"/>
      <c r="M59" s="122"/>
      <c r="N59" s="122"/>
      <c r="O59" s="122"/>
      <c r="P59" s="122"/>
      <c r="Q59" s="2"/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:26" ht="13.2" x14ac:dyDescent="0.25">
      <c r="A60" s="77" t="s">
        <v>88</v>
      </c>
      <c r="B60" s="78">
        <v>3</v>
      </c>
      <c r="C60" s="79">
        <f>2.8/1000</f>
        <v>2.8E-3</v>
      </c>
      <c r="D60" s="80">
        <f ca="1">IFERROR(__xludf.DUMMYFUNCTION("$C54*IMPORTRANGE(""https://docs.google.com/spreadsheets/d/1xsp01RMmkav9iTy39Zaj_7tE9677EGlOJ14KU9TZn7I/"",""1985-2003!H1086"")"),0.00234975999999999)</f>
        <v>2.3497599999999898E-3</v>
      </c>
      <c r="E60" s="80">
        <f ca="1">IFERROR(__xludf.DUMMYFUNCTION("$C54*IMPORTRANGE(""https://docs.google.com/spreadsheets/d/1xsp01RMmkav9iTy39Zaj_7tE9677EGlOJ14KU9TZn7I/"",""1985-2003!T1086"")"),0.0015295)</f>
        <v>1.5295E-3</v>
      </c>
      <c r="F60" s="80">
        <f ca="1">IFERROR(__xludf.DUMMYFUNCTION("$C54*IMPORTRANGE(""https://docs.google.com/spreadsheets/d/1xsp01RMmkav9iTy39Zaj_7tE9677EGlOJ14KU9TZn7I/"",""1985-2003!AC1086"")"),0.346948)</f>
        <v>0.34694799999999998</v>
      </c>
      <c r="G60" s="77" t="s">
        <v>8</v>
      </c>
      <c r="H60" s="121"/>
      <c r="I60" s="121"/>
      <c r="J60" s="121"/>
      <c r="K60" s="2"/>
      <c r="L60" s="3"/>
      <c r="M60" s="122"/>
      <c r="N60" s="122"/>
      <c r="O60" s="122"/>
      <c r="P60" s="122"/>
      <c r="Q60" s="2"/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:26" ht="13.2" x14ac:dyDescent="0.25">
      <c r="A61" s="58">
        <v>1989</v>
      </c>
      <c r="B61" s="59"/>
      <c r="C61" s="60"/>
      <c r="D61" s="60"/>
      <c r="E61" s="60"/>
      <c r="F61" s="60"/>
      <c r="G61" s="58"/>
      <c r="H61" s="121"/>
      <c r="I61" s="121"/>
      <c r="J61" s="121"/>
      <c r="K61" s="2"/>
      <c r="L61" s="3"/>
      <c r="M61" s="122"/>
      <c r="N61" s="122"/>
      <c r="O61" s="122"/>
      <c r="P61" s="122"/>
      <c r="Q61" s="2"/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:26" ht="13.2" x14ac:dyDescent="0.25">
      <c r="A62" s="61" t="s">
        <v>89</v>
      </c>
      <c r="B62" s="62">
        <v>0</v>
      </c>
      <c r="C62" s="63">
        <v>0</v>
      </c>
      <c r="D62" s="72">
        <f ca="1">IFERROR(__xludf.DUMMYFUNCTION("$C56*IMPORTRANGE(""https://docs.google.com/spreadsheets/d/1xsp01RMmkav9iTy39Zaj_7tE9677EGlOJ14KU9TZn7I/"",""1985-2003!H1110"")"),0)</f>
        <v>0</v>
      </c>
      <c r="E62" s="72">
        <f ca="1">IFERROR(__xludf.DUMMYFUNCTION("$C56*IMPORTRANGE(""https://docs.google.com/spreadsheets/d/1xsp01RMmkav9iTy39Zaj_7tE9677EGlOJ14KU9TZn7I/"",""1985-2003!T1110"")"),0)</f>
        <v>0</v>
      </c>
      <c r="F62" s="72">
        <f ca="1">IFERROR(__xludf.DUMMYFUNCTION("$C56*IMPORTRANGE(""https://docs.google.com/spreadsheets/d/1xsp01RMmkav9iTy39Zaj_7tE9677EGlOJ14KU9TZn7I/"",""1985-2003!AC1110"")"),0)</f>
        <v>0</v>
      </c>
      <c r="G62" s="61" t="s">
        <v>8</v>
      </c>
      <c r="H62" s="121"/>
      <c r="I62" s="121"/>
      <c r="J62" s="121"/>
      <c r="K62" s="2"/>
      <c r="L62" s="3"/>
      <c r="M62" s="122"/>
      <c r="N62" s="122"/>
      <c r="O62" s="122"/>
      <c r="P62" s="122"/>
      <c r="Q62" s="2"/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:26" ht="13.2" x14ac:dyDescent="0.25">
      <c r="A63" s="73" t="s">
        <v>90</v>
      </c>
      <c r="B63" s="74">
        <v>0</v>
      </c>
      <c r="C63" s="75">
        <v>0</v>
      </c>
      <c r="D63" s="76">
        <f ca="1">IFERROR(__xludf.DUMMYFUNCTION("$C57*IMPORTRANGE(""https://docs.google.com/spreadsheets/d/1xsp01RMmkav9iTy39Zaj_7tE9677EGlOJ14KU9TZn7I/"",""1985-2003!H1131"")"),0)</f>
        <v>0</v>
      </c>
      <c r="E63" s="76">
        <f ca="1">IFERROR(__xludf.DUMMYFUNCTION("$C57*IMPORTRANGE(""https://docs.google.com/spreadsheets/d/1xsp01RMmkav9iTy39Zaj_7tE9677EGlOJ14KU9TZn7I/"",""1985-2003!T1131"")"),0)</f>
        <v>0</v>
      </c>
      <c r="F63" s="76">
        <f ca="1">IFERROR(__xludf.DUMMYFUNCTION("$C57*IMPORTRANGE(""https://docs.google.com/spreadsheets/d/1xsp01RMmkav9iTy39Zaj_7tE9677EGlOJ14KU9TZn7I/"",""1985-2003!AC1131"")"),0)</f>
        <v>0</v>
      </c>
      <c r="G63" s="73" t="s">
        <v>8</v>
      </c>
      <c r="H63" s="121"/>
      <c r="I63" s="121"/>
      <c r="J63" s="121"/>
      <c r="K63" s="2"/>
      <c r="L63" s="3"/>
      <c r="M63" s="122"/>
      <c r="N63" s="122"/>
      <c r="O63" s="122"/>
      <c r="P63" s="122"/>
      <c r="Q63" s="2"/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:26" ht="13.2" x14ac:dyDescent="0.25">
      <c r="A64" s="61" t="s">
        <v>91</v>
      </c>
      <c r="B64" s="62">
        <v>0</v>
      </c>
      <c r="C64" s="63">
        <v>0</v>
      </c>
      <c r="D64" s="72">
        <f ca="1">IFERROR(__xludf.DUMMYFUNCTION("$C58*IMPORTRANGE(""https://docs.google.com/spreadsheets/d/1xsp01RMmkav9iTy39Zaj_7tE9677EGlOJ14KU9TZn7I/"",""1985-2003!H1155"")"),0)</f>
        <v>0</v>
      </c>
      <c r="E64" s="72">
        <f ca="1">IFERROR(__xludf.DUMMYFUNCTION("$C58*IMPORTRANGE(""https://docs.google.com/spreadsheets/d/1xsp01RMmkav9iTy39Zaj_7tE9677EGlOJ14KU9TZn7I/"",""1985-2003!T1155"")"),0)</f>
        <v>0</v>
      </c>
      <c r="F64" s="72">
        <f ca="1">IFERROR(__xludf.DUMMYFUNCTION("$C58*IMPORTRANGE(""https://docs.google.com/spreadsheets/d/1xsp01RMmkav9iTy39Zaj_7tE9677EGlOJ14KU9TZn7I/"",""1985-2003!AC1155"")"),0)</f>
        <v>0</v>
      </c>
      <c r="G64" s="61" t="s">
        <v>8</v>
      </c>
      <c r="H64" s="121"/>
      <c r="I64" s="121"/>
      <c r="J64" s="121"/>
      <c r="K64" s="2"/>
      <c r="L64" s="3"/>
      <c r="M64" s="122"/>
      <c r="N64" s="122"/>
      <c r="O64" s="122"/>
      <c r="P64" s="122"/>
      <c r="Q64" s="2"/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:26" ht="13.2" x14ac:dyDescent="0.25">
      <c r="A65" s="73" t="s">
        <v>92</v>
      </c>
      <c r="B65" s="74">
        <v>1</v>
      </c>
      <c r="C65" s="75">
        <v>0</v>
      </c>
      <c r="D65" s="76">
        <f ca="1">IFERROR(__xludf.DUMMYFUNCTION("$C59*IMPORTRANGE(""https://docs.google.com/spreadsheets/d/1xsp01RMmkav9iTy39Zaj_7tE9677EGlOJ14KU9TZn7I/"",""1985-2003!H1176"")"),0)</f>
        <v>0</v>
      </c>
      <c r="E65" s="76">
        <f ca="1">IFERROR(__xludf.DUMMYFUNCTION("$C59*IMPORTRANGE(""https://docs.google.com/spreadsheets/d/1xsp01RMmkav9iTy39Zaj_7tE9677EGlOJ14KU9TZn7I/"",""1985-2003!T1176"")"),0)</f>
        <v>0</v>
      </c>
      <c r="F65" s="76">
        <f ca="1">IFERROR(__xludf.DUMMYFUNCTION("$C59*IMPORTRANGE(""https://docs.google.com/spreadsheets/d/1xsp01RMmkav9iTy39Zaj_7tE9677EGlOJ14KU9TZn7I/"",""1985-2003!AC1176"")"),0)</f>
        <v>0</v>
      </c>
      <c r="G65" s="73" t="s">
        <v>8</v>
      </c>
      <c r="H65" s="121"/>
      <c r="I65" s="121"/>
      <c r="J65" s="121"/>
      <c r="K65" s="2"/>
      <c r="L65" s="3"/>
      <c r="M65" s="122"/>
      <c r="N65" s="122"/>
      <c r="O65" s="122"/>
      <c r="P65" s="122"/>
      <c r="Q65" s="2"/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:26" ht="13.2" x14ac:dyDescent="0.25">
      <c r="A66" s="61" t="s">
        <v>93</v>
      </c>
      <c r="B66" s="62">
        <v>0</v>
      </c>
      <c r="C66" s="63">
        <v>0</v>
      </c>
      <c r="D66" s="72">
        <f ca="1">IFERROR(__xludf.DUMMYFUNCTION("$C60*IMPORTRANGE(""https://docs.google.com/spreadsheets/d/1xsp01RMmkav9iTy39Zaj_7tE9677EGlOJ14KU9TZn7I/"",""1985-2003!H1200"")"),0)</f>
        <v>0</v>
      </c>
      <c r="E66" s="72">
        <f ca="1">IFERROR(__xludf.DUMMYFUNCTION("$C60*IMPORTRANGE(""https://docs.google.com/spreadsheets/d/1xsp01RMmkav9iTy39Zaj_7tE9677EGlOJ14KU9TZn7I/"",""1985-2003!T1200"")"),0)</f>
        <v>0</v>
      </c>
      <c r="F66" s="72">
        <f ca="1">IFERROR(__xludf.DUMMYFUNCTION("$C60*IMPORTRANGE(""https://docs.google.com/spreadsheets/d/1xsp01RMmkav9iTy39Zaj_7tE9677EGlOJ14KU9TZn7I/"",""1985-2003!AC1200"")"),0)</f>
        <v>0</v>
      </c>
      <c r="G66" s="61" t="s">
        <v>8</v>
      </c>
      <c r="H66" s="121"/>
      <c r="I66" s="121"/>
      <c r="J66" s="121"/>
      <c r="K66" s="2"/>
      <c r="L66" s="3"/>
      <c r="M66" s="122"/>
      <c r="N66" s="122"/>
      <c r="O66" s="122"/>
      <c r="P66" s="122"/>
      <c r="Q66" s="2"/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:26" ht="13.2" x14ac:dyDescent="0.25">
      <c r="A67" s="73" t="s">
        <v>94</v>
      </c>
      <c r="B67" s="74">
        <v>1</v>
      </c>
      <c r="C67" s="75">
        <v>0</v>
      </c>
      <c r="D67" s="76">
        <f ca="1">IFERROR(__xludf.DUMMYFUNCTION("$C61*IMPORTRANGE(""https://docs.google.com/spreadsheets/d/1xsp01RMmkav9iTy39Zaj_7tE9677EGlOJ14KU9TZn7I/"",""1985-2003!H1223"")"),0)</f>
        <v>0</v>
      </c>
      <c r="E67" s="76">
        <f ca="1">IFERROR(__xludf.DUMMYFUNCTION("$C61*IMPORTRANGE(""https://docs.google.com/spreadsheets/d/1xsp01RMmkav9iTy39Zaj_7tE9677EGlOJ14KU9TZn7I/"",""1985-2003!T1223"")"),0)</f>
        <v>0</v>
      </c>
      <c r="F67" s="76">
        <f ca="1">IFERROR(__xludf.DUMMYFUNCTION("$C61*IMPORTRANGE(""https://docs.google.com/spreadsheets/d/1xsp01RMmkav9iTy39Zaj_7tE9677EGlOJ14KU9TZn7I/"",""1985-2003!AC1223"")"),0)</f>
        <v>0</v>
      </c>
      <c r="G67" s="73" t="s">
        <v>8</v>
      </c>
      <c r="H67" s="121"/>
      <c r="I67" s="121"/>
      <c r="J67" s="121"/>
      <c r="K67" s="2"/>
      <c r="L67" s="3"/>
      <c r="M67" s="122"/>
      <c r="N67" s="122"/>
      <c r="O67" s="122"/>
      <c r="P67" s="122"/>
      <c r="Q67" s="2"/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:26" ht="13.2" x14ac:dyDescent="0.25">
      <c r="A68" s="61" t="s">
        <v>95</v>
      </c>
      <c r="B68" s="62">
        <v>0</v>
      </c>
      <c r="C68" s="63">
        <v>0</v>
      </c>
      <c r="D68" s="72">
        <f ca="1">IFERROR(__xludf.DUMMYFUNCTION("$C62*IMPORTRANGE(""https://docs.google.com/spreadsheets/d/1xsp01RMmkav9iTy39Zaj_7tE9677EGlOJ14KU9TZn7I/"",""1985-2003!H1245"")"),0)</f>
        <v>0</v>
      </c>
      <c r="E68" s="72">
        <f ca="1">IFERROR(__xludf.DUMMYFUNCTION("$C62*IMPORTRANGE(""https://docs.google.com/spreadsheets/d/1xsp01RMmkav9iTy39Zaj_7tE9677EGlOJ14KU9TZn7I/"",""1985-2003!T1245"")"),0)</f>
        <v>0</v>
      </c>
      <c r="F68" s="72">
        <f ca="1">IFERROR(__xludf.DUMMYFUNCTION("$C62*IMPORTRANGE(""https://docs.google.com/spreadsheets/d/1xsp01RMmkav9iTy39Zaj_7tE9677EGlOJ14KU9TZn7I/"",""1985-2003!AC1245"")"),0)</f>
        <v>0</v>
      </c>
      <c r="G68" s="61" t="s">
        <v>8</v>
      </c>
      <c r="H68" s="121"/>
      <c r="I68" s="121"/>
      <c r="J68" s="121"/>
      <c r="K68" s="2"/>
      <c r="L68" s="3"/>
      <c r="M68" s="122"/>
      <c r="N68" s="122"/>
      <c r="O68" s="122"/>
      <c r="P68" s="122"/>
      <c r="Q68" s="2"/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:26" ht="13.2" x14ac:dyDescent="0.25">
      <c r="A69" s="73" t="s">
        <v>96</v>
      </c>
      <c r="B69" s="74">
        <v>0</v>
      </c>
      <c r="C69" s="75">
        <v>0</v>
      </c>
      <c r="D69" s="76">
        <f ca="1">IFERROR(__xludf.DUMMYFUNCTION("$C63*IMPORTRANGE(""https://docs.google.com/spreadsheets/d/1xsp01RMmkav9iTy39Zaj_7tE9677EGlOJ14KU9TZn7I/"",""1985-2003!H1269"")"),0)</f>
        <v>0</v>
      </c>
      <c r="E69" s="76">
        <f ca="1">IFERROR(__xludf.DUMMYFUNCTION("$C63*IMPORTRANGE(""https://docs.google.com/spreadsheets/d/1xsp01RMmkav9iTy39Zaj_7tE9677EGlOJ14KU9TZn7I/"",""1985-2003!T1269"")"),0)</f>
        <v>0</v>
      </c>
      <c r="F69" s="76">
        <f ca="1">IFERROR(__xludf.DUMMYFUNCTION("$C63*IMPORTRANGE(""https://docs.google.com/spreadsheets/d/1xsp01RMmkav9iTy39Zaj_7tE9677EGlOJ14KU9TZn7I/"",""1985-2003!AC1269"")"),0)</f>
        <v>0</v>
      </c>
      <c r="G69" s="73" t="s">
        <v>8</v>
      </c>
      <c r="H69" s="121"/>
      <c r="I69" s="121"/>
      <c r="J69" s="121"/>
      <c r="K69" s="2"/>
      <c r="L69" s="3"/>
      <c r="M69" s="122"/>
      <c r="N69" s="122"/>
      <c r="O69" s="122"/>
      <c r="P69" s="122"/>
      <c r="Q69" s="2"/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:26" ht="13.2" x14ac:dyDescent="0.25">
      <c r="A70" s="61" t="s">
        <v>97</v>
      </c>
      <c r="B70" s="62">
        <v>0</v>
      </c>
      <c r="C70" s="63">
        <v>0</v>
      </c>
      <c r="D70" s="72">
        <f ca="1">IFERROR(__xludf.DUMMYFUNCTION("$C64*IMPORTRANGE(""https://docs.google.com/spreadsheets/d/1xsp01RMmkav9iTy39Zaj_7tE9677EGlOJ14KU9TZn7I/"",""1985-2003!H1291"")"),0)</f>
        <v>0</v>
      </c>
      <c r="E70" s="72">
        <f ca="1">IFERROR(__xludf.DUMMYFUNCTION("$C64*IMPORTRANGE(""https://docs.google.com/spreadsheets/d/1xsp01RMmkav9iTy39Zaj_7tE9677EGlOJ14KU9TZn7I/"",""1985-2003!T1291"")"),0)</f>
        <v>0</v>
      </c>
      <c r="F70" s="72">
        <f ca="1">IFERROR(__xludf.DUMMYFUNCTION("$C64*IMPORTRANGE(""https://docs.google.com/spreadsheets/d/1xsp01RMmkav9iTy39Zaj_7tE9677EGlOJ14KU9TZn7I/"",""1985-2003!AC1291"")"),0)</f>
        <v>0</v>
      </c>
      <c r="G70" s="61" t="s">
        <v>8</v>
      </c>
      <c r="H70" s="121"/>
      <c r="I70" s="121"/>
      <c r="J70" s="121"/>
      <c r="K70" s="2"/>
      <c r="L70" s="3"/>
      <c r="M70" s="122"/>
      <c r="N70" s="122"/>
      <c r="O70" s="122"/>
      <c r="P70" s="122"/>
      <c r="Q70" s="2"/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:26" ht="13.2" x14ac:dyDescent="0.25">
      <c r="A71" s="73" t="s">
        <v>98</v>
      </c>
      <c r="B71" s="74">
        <v>0</v>
      </c>
      <c r="C71" s="75">
        <v>0</v>
      </c>
      <c r="D71" s="76">
        <f ca="1">IFERROR(__xludf.DUMMYFUNCTION("$C65*IMPORTRANGE(""https://docs.google.com/spreadsheets/d/1xsp01RMmkav9iTy39Zaj_7tE9677EGlOJ14KU9TZn7I/"",""1985-2003!H1314"")"),0)</f>
        <v>0</v>
      </c>
      <c r="E71" s="76">
        <f ca="1">IFERROR(__xludf.DUMMYFUNCTION("$C65*IMPORTRANGE(""https://docs.google.com/spreadsheets/d/1xsp01RMmkav9iTy39Zaj_7tE9677EGlOJ14KU9TZn7I/"",""1985-2003!T1314"")"),0)</f>
        <v>0</v>
      </c>
      <c r="F71" s="76">
        <f ca="1">IFERROR(__xludf.DUMMYFUNCTION("$C65*IMPORTRANGE(""https://docs.google.com/spreadsheets/d/1xsp01RMmkav9iTy39Zaj_7tE9677EGlOJ14KU9TZn7I/"",""1985-2003!AC1314"")"),0)</f>
        <v>0</v>
      </c>
      <c r="G71" s="73" t="s">
        <v>8</v>
      </c>
      <c r="H71" s="121"/>
      <c r="I71" s="121"/>
      <c r="J71" s="121"/>
      <c r="K71" s="2"/>
      <c r="L71" s="3"/>
      <c r="M71" s="122"/>
      <c r="N71" s="122"/>
      <c r="O71" s="122"/>
      <c r="P71" s="122"/>
      <c r="Q71" s="2"/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:26" ht="13.2" x14ac:dyDescent="0.25">
      <c r="A72" s="61" t="s">
        <v>99</v>
      </c>
      <c r="B72" s="62">
        <v>0</v>
      </c>
      <c r="C72" s="63">
        <v>0</v>
      </c>
      <c r="D72" s="72">
        <f ca="1">IFERROR(__xludf.DUMMYFUNCTION("$C66*IMPORTRANGE(""https://docs.google.com/spreadsheets/d/1xsp01RMmkav9iTy39Zaj_7tE9677EGlOJ14KU9TZn7I/"",""1985-2003!H1337"")"),0)</f>
        <v>0</v>
      </c>
      <c r="E72" s="72">
        <f ca="1">IFERROR(__xludf.DUMMYFUNCTION("$C66*IMPORTRANGE(""https://docs.google.com/spreadsheets/d/1xsp01RMmkav9iTy39Zaj_7tE9677EGlOJ14KU9TZn7I/"",""1985-2003!T1337"")"),0)</f>
        <v>0</v>
      </c>
      <c r="F72" s="72">
        <f ca="1">IFERROR(__xludf.DUMMYFUNCTION("$C66*IMPORTRANGE(""https://docs.google.com/spreadsheets/d/1xsp01RMmkav9iTy39Zaj_7tE9677EGlOJ14KU9TZn7I/"",""1985-2003!AC1337"")"),0)</f>
        <v>0</v>
      </c>
      <c r="G72" s="61" t="s">
        <v>8</v>
      </c>
      <c r="H72" s="121"/>
      <c r="I72" s="121"/>
      <c r="J72" s="121"/>
      <c r="K72" s="2"/>
      <c r="L72" s="3"/>
      <c r="M72" s="122"/>
      <c r="N72" s="122"/>
      <c r="O72" s="122"/>
      <c r="P72" s="122"/>
      <c r="Q72" s="2"/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:26" ht="13.2" x14ac:dyDescent="0.25">
      <c r="A73" s="77" t="s">
        <v>100</v>
      </c>
      <c r="B73" s="78">
        <v>4</v>
      </c>
      <c r="C73" s="79">
        <v>0</v>
      </c>
      <c r="D73" s="80">
        <f ca="1">IFERROR(__xludf.DUMMYFUNCTION("$C67*IMPORTRANGE(""https://docs.google.com/spreadsheets/d/1xsp01RMmkav9iTy39Zaj_7tE9677EGlOJ14KU9TZn7I/"",""1985-2003!H1359"")"),0)</f>
        <v>0</v>
      </c>
      <c r="E73" s="80">
        <f ca="1">IFERROR(__xludf.DUMMYFUNCTION("$C67*IMPORTRANGE(""https://docs.google.com/spreadsheets/d/1xsp01RMmkav9iTy39Zaj_7tE9677EGlOJ14KU9TZn7I/"",""1985-2003!T1359"")"),0)</f>
        <v>0</v>
      </c>
      <c r="F73" s="80">
        <f ca="1">IFERROR(__xludf.DUMMYFUNCTION("$C67*IMPORTRANGE(""https://docs.google.com/spreadsheets/d/1xsp01RMmkav9iTy39Zaj_7tE9677EGlOJ14KU9TZn7I/"",""1985-2003!AC1359"")"),0)</f>
        <v>0</v>
      </c>
      <c r="G73" s="77" t="s">
        <v>8</v>
      </c>
      <c r="H73" s="121"/>
      <c r="I73" s="121"/>
      <c r="J73" s="121"/>
      <c r="K73" s="2"/>
      <c r="L73" s="3"/>
      <c r="M73" s="122"/>
      <c r="N73" s="122"/>
      <c r="O73" s="122"/>
      <c r="P73" s="122"/>
      <c r="Q73" s="2"/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:26" ht="13.2" x14ac:dyDescent="0.25">
      <c r="A74" s="58">
        <v>1990</v>
      </c>
      <c r="B74" s="59"/>
      <c r="C74" s="60"/>
      <c r="D74" s="60"/>
      <c r="E74" s="60"/>
      <c r="F74" s="60"/>
      <c r="G74" s="58"/>
      <c r="H74" s="121"/>
      <c r="I74" s="121"/>
      <c r="J74" s="121"/>
      <c r="K74" s="2"/>
      <c r="L74" s="3"/>
      <c r="M74" s="122"/>
      <c r="N74" s="122"/>
      <c r="O74" s="122"/>
      <c r="P74" s="122"/>
      <c r="Q74" s="2"/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:26" ht="13.2" x14ac:dyDescent="0.25">
      <c r="A75" s="61" t="s">
        <v>101</v>
      </c>
      <c r="B75" s="62">
        <v>1</v>
      </c>
      <c r="C75" s="63">
        <f>50/1000</f>
        <v>0.05</v>
      </c>
      <c r="D75" s="72">
        <f ca="1">IFERROR(__xludf.DUMMYFUNCTION("$C69*IMPORTRANGE(""https://docs.google.com/spreadsheets/d/1xsp01RMmkav9iTy39Zaj_7tE9677EGlOJ14KU9TZn7I/"",""1985-2003!H1383"")"),0.040525)</f>
        <v>4.0524999999999999E-2</v>
      </c>
      <c r="E75" s="72">
        <f ca="1">IFERROR(__xludf.DUMMYFUNCTION("$C69*IMPORTRANGE(""https://docs.google.com/spreadsheets/d/1xsp01RMmkav9iTy39Zaj_7tE9677EGlOJ14KU9TZn7I/"",""1985-2003!T1383"")"),0.03023)</f>
        <v>3.023E-2</v>
      </c>
      <c r="F75" s="72">
        <f ca="1">IFERROR(__xludf.DUMMYFUNCTION("$C69*IMPORTRANGE(""https://docs.google.com/spreadsheets/d/1xsp01RMmkav9iTy39Zaj_7tE9677EGlOJ14KU9TZn7I/"",""1985-2003!AC1383"")"),7.27)</f>
        <v>7.27</v>
      </c>
      <c r="G75" s="61" t="s">
        <v>8</v>
      </c>
      <c r="H75" s="121"/>
      <c r="I75" s="121"/>
      <c r="J75" s="121"/>
      <c r="K75" s="2"/>
      <c r="L75" s="3"/>
      <c r="M75" s="122"/>
      <c r="N75" s="122"/>
      <c r="O75" s="122"/>
      <c r="P75" s="122"/>
      <c r="Q75" s="2"/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:26" ht="13.2" x14ac:dyDescent="0.25">
      <c r="A76" s="73" t="s">
        <v>102</v>
      </c>
      <c r="B76" s="74">
        <v>1</v>
      </c>
      <c r="C76" s="75">
        <f>492.5/1000</f>
        <v>0.49249999999999999</v>
      </c>
      <c r="D76" s="76">
        <f ca="1">IFERROR(__xludf.DUMMYFUNCTION("$C70*IMPORTRANGE(""https://docs.google.com/spreadsheets/d/1xsp01RMmkav9iTy39Zaj_7tE9677EGlOJ14KU9TZn7I/"",""1985-2003!H1404"")"),0.395748375)</f>
        <v>0.39574837499999999</v>
      </c>
      <c r="E76" s="76">
        <f ca="1">IFERROR(__xludf.DUMMYFUNCTION("$C70*IMPORTRANGE(""https://docs.google.com/spreadsheets/d/1xsp01RMmkav9iTy39Zaj_7tE9677EGlOJ14KU9TZn7I/"",""1985-2003!T1404"")"),0.290550374999999)</f>
        <v>0.29055037499999897</v>
      </c>
      <c r="F76" s="76">
        <f ca="1">IFERROR(__xludf.DUMMYFUNCTION("$C70*IMPORTRANGE(""https://docs.google.com/spreadsheets/d/1xsp01RMmkav9iTy39Zaj_7tE9677EGlOJ14KU9TZn7I/"",""1985-2003!T1404"")"),0.290550374999999)</f>
        <v>0.29055037499999897</v>
      </c>
      <c r="G76" s="73" t="s">
        <v>8</v>
      </c>
      <c r="H76" s="121"/>
      <c r="I76" s="121"/>
      <c r="J76" s="121"/>
      <c r="K76" s="2"/>
      <c r="L76" s="3"/>
      <c r="M76" s="122"/>
      <c r="N76" s="122"/>
      <c r="O76" s="122"/>
      <c r="P76" s="122"/>
      <c r="Q76" s="2"/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:26" ht="13.2" x14ac:dyDescent="0.25">
      <c r="A77" s="61" t="s">
        <v>103</v>
      </c>
      <c r="B77" s="62">
        <v>0</v>
      </c>
      <c r="C77" s="63">
        <v>0</v>
      </c>
      <c r="D77" s="72">
        <f ca="1">IFERROR(__xludf.DUMMYFUNCTION("$C71*IMPORTRANGE(""https://docs.google.com/spreadsheets/d/1xsp01RMmkav9iTy39Zaj_7tE9677EGlOJ14KU9TZn7I/"",""1985-2003!H1427"")"),0)</f>
        <v>0</v>
      </c>
      <c r="E77" s="72">
        <f ca="1">IFERROR(__xludf.DUMMYFUNCTION("$C71*IMPORTRANGE(""https://docs.google.com/spreadsheets/d/1xsp01RMmkav9iTy39Zaj_7tE9677EGlOJ14KU9TZn7I/"",""1985-2003!T1427"")"),0)</f>
        <v>0</v>
      </c>
      <c r="F77" s="72">
        <f ca="1">IFERROR(__xludf.DUMMYFUNCTION("$C71*IMPORTRANGE(""https://docs.google.com/spreadsheets/d/1xsp01RMmkav9iTy39Zaj_7tE9677EGlOJ14KU9TZn7I/"",""1985-2003!AC1427"")"),0)</f>
        <v>0</v>
      </c>
      <c r="G77" s="61" t="s">
        <v>8</v>
      </c>
      <c r="H77" s="121"/>
      <c r="I77" s="121"/>
      <c r="J77" s="121"/>
      <c r="K77" s="2"/>
      <c r="L77" s="3"/>
      <c r="M77" s="122"/>
      <c r="N77" s="122"/>
      <c r="O77" s="122"/>
      <c r="P77" s="122"/>
      <c r="Q77" s="2"/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:26" ht="13.2" x14ac:dyDescent="0.25">
      <c r="A78" s="73" t="s">
        <v>104</v>
      </c>
      <c r="B78" s="74">
        <v>1</v>
      </c>
      <c r="C78" s="75">
        <f>1/1000</f>
        <v>1E-3</v>
      </c>
      <c r="D78" s="76">
        <f ca="1">IFERROR(__xludf.DUMMYFUNCTION("$C72*IMPORTRANGE(""https://docs.google.com/spreadsheets/d/1xsp01RMmkav9iTy39Zaj_7tE9677EGlOJ14KU9TZn7I/"",""1985-2003!H1449"")"),0.0008025)</f>
        <v>8.0250000000000004E-4</v>
      </c>
      <c r="E78" s="76">
        <f ca="1">IFERROR(__xludf.DUMMYFUNCTION("$C72*IMPORTRANGE(""https://docs.google.com/spreadsheets/d/1xsp01RMmkav9iTy39Zaj_7tE9677EGlOJ14KU9TZn7I/"",""1985-2003!T1449"")"),0.0006111)</f>
        <v>6.1109999999999995E-4</v>
      </c>
      <c r="F78" s="76">
        <f ca="1">IFERROR(__xludf.DUMMYFUNCTION("$C72*IMPORTRANGE(""https://docs.google.com/spreadsheets/d/1xsp01RMmkav9iTy39Zaj_7tE9677EGlOJ14KU9TZn7I/"",""1985-2003!AC1449"")"),0.15869)</f>
        <v>0.15869</v>
      </c>
      <c r="G78" s="73" t="s">
        <v>8</v>
      </c>
      <c r="H78" s="121"/>
      <c r="I78" s="121"/>
      <c r="J78" s="121"/>
      <c r="K78" s="2"/>
      <c r="L78" s="3"/>
      <c r="M78" s="122"/>
      <c r="N78" s="122"/>
      <c r="O78" s="122"/>
      <c r="P78" s="122"/>
      <c r="Q78" s="2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6" ht="13.2" x14ac:dyDescent="0.25">
      <c r="A79" s="61" t="s">
        <v>105</v>
      </c>
      <c r="B79" s="62">
        <v>0</v>
      </c>
      <c r="C79" s="63">
        <v>0</v>
      </c>
      <c r="D79" s="72">
        <f ca="1">IFERROR(__xludf.DUMMYFUNCTION("$C73*IMPORTRANGE(""https://docs.google.com/spreadsheets/d/1xsp01RMmkav9iTy39Zaj_7tE9677EGlOJ14KU9TZn7I/"",""1985-2003!H1473"")"),0)</f>
        <v>0</v>
      </c>
      <c r="E79" s="72">
        <f ca="1">IFERROR(__xludf.DUMMYFUNCTION("$C73*IMPORTRANGE(""https://docs.google.com/spreadsheets/d/1xsp01RMmkav9iTy39Zaj_7tE9677EGlOJ14KU9TZn7I/"",""1985-2003!T1473"")"),0)</f>
        <v>0</v>
      </c>
      <c r="F79" s="72">
        <f ca="1">IFERROR(__xludf.DUMMYFUNCTION("$C73*IMPORTRANGE(""https://docs.google.com/spreadsheets/d/1xsp01RMmkav9iTy39Zaj_7tE9677EGlOJ14KU9TZn7I/"",""1985-2003!AC1473"")"),0)</f>
        <v>0</v>
      </c>
      <c r="G79" s="61" t="s">
        <v>8</v>
      </c>
      <c r="H79" s="121"/>
      <c r="I79" s="121"/>
      <c r="J79" s="121"/>
      <c r="K79" s="2"/>
      <c r="L79" s="3"/>
      <c r="M79" s="122"/>
      <c r="N79" s="122"/>
      <c r="O79" s="122"/>
      <c r="P79" s="122"/>
      <c r="Q79" s="2"/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:26" ht="13.2" x14ac:dyDescent="0.25">
      <c r="A80" s="73" t="s">
        <v>106</v>
      </c>
      <c r="B80" s="74">
        <v>0</v>
      </c>
      <c r="C80" s="75">
        <v>0</v>
      </c>
      <c r="D80" s="76">
        <f ca="1">IFERROR(__xludf.DUMMYFUNCTION("$C74*IMPORTRANGE(""https://docs.google.com/spreadsheets/d/1xsp01RMmkav9iTy39Zaj_7tE9677EGlOJ14KU9TZn7I/"",""1985-2003!H1495"")"),0)</f>
        <v>0</v>
      </c>
      <c r="E80" s="76">
        <f ca="1">IFERROR(__xludf.DUMMYFUNCTION("$C74*IMPORTRANGE(""https://docs.google.com/spreadsheets/d/1xsp01RMmkav9iTy39Zaj_7tE9677EGlOJ14KU9TZn7I/"",""1985-2003!T1495"")"),0)</f>
        <v>0</v>
      </c>
      <c r="F80" s="76">
        <f ca="1">IFERROR(__xludf.DUMMYFUNCTION("$C74*IMPORTRANGE(""https://docs.google.com/spreadsheets/d/1xsp01RMmkav9iTy39Zaj_7tE9677EGlOJ14KU9TZn7I/"",""1985-2003!AC1495"")"),0)</f>
        <v>0</v>
      </c>
      <c r="G80" s="73" t="s">
        <v>8</v>
      </c>
      <c r="H80" s="121"/>
      <c r="I80" s="121"/>
      <c r="J80" s="121"/>
      <c r="K80" s="2"/>
      <c r="L80" s="3"/>
      <c r="M80" s="122"/>
      <c r="N80" s="122"/>
      <c r="O80" s="122"/>
      <c r="P80" s="122"/>
      <c r="Q80" s="2"/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:26" ht="13.2" x14ac:dyDescent="0.25">
      <c r="A81" s="61" t="s">
        <v>107</v>
      </c>
      <c r="B81" s="62">
        <v>1</v>
      </c>
      <c r="C81" s="63">
        <v>0</v>
      </c>
      <c r="D81" s="72">
        <f ca="1">IFERROR(__xludf.DUMMYFUNCTION("$C75*IMPORTRANGE(""https://docs.google.com/spreadsheets/d/1xsp01RMmkav9iTy39Zaj_7tE9677EGlOJ14KU9TZn7I/"",""1985-2003!H1518"")"),0)</f>
        <v>0</v>
      </c>
      <c r="E81" s="72">
        <f ca="1">IFERROR(__xludf.DUMMYFUNCTION("$C75*IMPORTRANGE(""https://docs.google.com/spreadsheets/d/1xsp01RMmkav9iTy39Zaj_7tE9677EGlOJ14KU9TZn7I/"",""1985-2003!T1518"")"),0)</f>
        <v>0</v>
      </c>
      <c r="F81" s="72">
        <f ca="1">IFERROR(__xludf.DUMMYFUNCTION("$C75*IMPORTRANGE(""https://docs.google.com/spreadsheets/d/1xsp01RMmkav9iTy39Zaj_7tE9677EGlOJ14KU9TZn7I/"",""1985-2003!AC1518"")"),0)</f>
        <v>0</v>
      </c>
      <c r="G81" s="61" t="s">
        <v>8</v>
      </c>
      <c r="H81" s="121"/>
      <c r="I81" s="121"/>
      <c r="J81" s="121"/>
      <c r="K81" s="2"/>
      <c r="L81" s="3"/>
      <c r="M81" s="122"/>
      <c r="N81" s="122"/>
      <c r="O81" s="122"/>
      <c r="P81" s="122"/>
      <c r="Q81" s="2"/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:26" ht="13.2" x14ac:dyDescent="0.25">
      <c r="A82" s="73" t="s">
        <v>108</v>
      </c>
      <c r="B82" s="74">
        <v>0</v>
      </c>
      <c r="C82" s="75">
        <v>0</v>
      </c>
      <c r="D82" s="76">
        <f ca="1">IFERROR(__xludf.DUMMYFUNCTION("$C76*IMPORTRANGE(""https://docs.google.com/spreadsheets/d/1xsp01RMmkav9iTy39Zaj_7tE9677EGlOJ14KU9TZn7I/"",""1985-2003!H1542"")"),0)</f>
        <v>0</v>
      </c>
      <c r="E82" s="76">
        <f ca="1">IFERROR(__xludf.DUMMYFUNCTION("$C76*IMPORTRANGE(""https://docs.google.com/spreadsheets/d/1xsp01RMmkav9iTy39Zaj_7tE9677EGlOJ14KU9TZn7I/"",""1985-2003!T1542"")"),0)</f>
        <v>0</v>
      </c>
      <c r="F82" s="76">
        <f ca="1">IFERROR(__xludf.DUMMYFUNCTION("$C76*IMPORTRANGE(""https://docs.google.com/spreadsheets/d/1xsp01RMmkav9iTy39Zaj_7tE9677EGlOJ14KU9TZn7I/"",""1985-2003!AC1542"")"),0)</f>
        <v>0</v>
      </c>
      <c r="G82" s="73" t="s">
        <v>8</v>
      </c>
      <c r="H82" s="121"/>
      <c r="I82" s="121"/>
      <c r="J82" s="121"/>
      <c r="K82" s="2"/>
      <c r="L82" s="3"/>
      <c r="M82" s="122"/>
      <c r="N82" s="122"/>
      <c r="O82" s="122"/>
      <c r="P82" s="122"/>
      <c r="Q82" s="2"/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:26" ht="13.2" x14ac:dyDescent="0.25">
      <c r="A83" s="61" t="s">
        <v>109</v>
      </c>
      <c r="B83" s="62">
        <v>0</v>
      </c>
      <c r="C83" s="63">
        <v>0</v>
      </c>
      <c r="D83" s="72">
        <f ca="1">IFERROR(__xludf.DUMMYFUNCTION("$C77*IMPORTRANGE(""https://docs.google.com/spreadsheets/d/1xsp01RMmkav9iTy39Zaj_7tE9677EGlOJ14KU9TZn7I/"",""1985-2003!H1563"")"),0)</f>
        <v>0</v>
      </c>
      <c r="E83" s="72">
        <f ca="1">IFERROR(__xludf.DUMMYFUNCTION("$C77*IMPORTRANGE(""https://docs.google.com/spreadsheets/d/1xsp01RMmkav9iTy39Zaj_7tE9677EGlOJ14KU9TZn7I/"",""1985-2003!T1563"")"),0)</f>
        <v>0</v>
      </c>
      <c r="F83" s="72">
        <f ca="1">IFERROR(__xludf.DUMMYFUNCTION("$C77*IMPORTRANGE(""https://docs.google.com/spreadsheets/d/1xsp01RMmkav9iTy39Zaj_7tE9677EGlOJ14KU9TZn7I/"",""1985-2003!AC1563"")"),0)</f>
        <v>0</v>
      </c>
      <c r="G83" s="61" t="s">
        <v>8</v>
      </c>
      <c r="H83" s="121"/>
      <c r="I83" s="121"/>
      <c r="J83" s="121"/>
      <c r="K83" s="2"/>
      <c r="L83" s="3"/>
      <c r="M83" s="122"/>
      <c r="N83" s="122"/>
      <c r="O83" s="122"/>
      <c r="P83" s="122"/>
      <c r="Q83" s="2"/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:26" ht="13.2" x14ac:dyDescent="0.25">
      <c r="A84" s="73" t="s">
        <v>110</v>
      </c>
      <c r="B84" s="74">
        <v>0</v>
      </c>
      <c r="C84" s="75">
        <v>0</v>
      </c>
      <c r="D84" s="76">
        <f ca="1">IFERROR(__xludf.DUMMYFUNCTION("$C78*IMPORTRANGE(""https://docs.google.com/spreadsheets/d/1xsp01RMmkav9iTy39Zaj_7tE9677EGlOJ14KU9TZn7I/"",""1985-2003!H1587"")"),0)</f>
        <v>0</v>
      </c>
      <c r="E84" s="76">
        <f ca="1">IFERROR(__xludf.DUMMYFUNCTION("$C78*IMPORTRANGE(""https://docs.google.com/spreadsheets/d/1xsp01RMmkav9iTy39Zaj_7tE9677EGlOJ14KU9TZn7I/"",""1985-2003!T1587"")"),0)</f>
        <v>0</v>
      </c>
      <c r="F84" s="76">
        <f ca="1">IFERROR(__xludf.DUMMYFUNCTION("$C78*IMPORTRANGE(""https://docs.google.com/spreadsheets/d/1xsp01RMmkav9iTy39Zaj_7tE9677EGlOJ14KU9TZn7I/"",""1985-2003!AC1587"")"),0)</f>
        <v>0</v>
      </c>
      <c r="G84" s="73" t="s">
        <v>8</v>
      </c>
      <c r="H84" s="121"/>
      <c r="I84" s="121"/>
      <c r="J84" s="121"/>
      <c r="K84" s="2"/>
      <c r="L84" s="3"/>
      <c r="M84" s="122"/>
      <c r="N84" s="122"/>
      <c r="O84" s="122"/>
      <c r="P84" s="122"/>
      <c r="Q84" s="2"/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:26" ht="13.2" x14ac:dyDescent="0.25">
      <c r="A85" s="61" t="s">
        <v>111</v>
      </c>
      <c r="B85" s="62">
        <v>1</v>
      </c>
      <c r="C85" s="63">
        <f>329.7/1000</f>
        <v>0.32969999999999999</v>
      </c>
      <c r="D85" s="72">
        <f ca="1">IFERROR(__xludf.DUMMYFUNCTION("$C79*IMPORTRANGE(""https://docs.google.com/spreadsheets/d/1xsp01RMmkav9iTy39Zaj_7tE9677EGlOJ14KU9TZn7I/"",""1985-2003!H1610"")"),0.233839724999999)</f>
        <v>0.233839724999999</v>
      </c>
      <c r="E85" s="72">
        <f ca="1">IFERROR(__xludf.DUMMYFUNCTION("$C79*IMPORTRANGE(""https://docs.google.com/spreadsheets/d/1xsp01RMmkav9iTy39Zaj_7tE9677EGlOJ14KU9TZn7I/"",""1985-2003!T1610"")"),0.167734875)</f>
        <v>0.16773487500000001</v>
      </c>
      <c r="F85" s="72">
        <f ca="1">IFERROR(__xludf.DUMMYFUNCTION("$C79*IMPORTRANGE(""https://docs.google.com/spreadsheets/d/1xsp01RMmkav9iTy39Zaj_7tE9677EGlOJ14KU9TZn7I/"",""1985-2003!AC1610"")"),42.5164634999999)</f>
        <v>42.516463499999901</v>
      </c>
      <c r="G85" s="61" t="s">
        <v>8</v>
      </c>
      <c r="H85" s="121"/>
      <c r="I85" s="121"/>
      <c r="J85" s="121"/>
      <c r="K85" s="2"/>
      <c r="L85" s="3"/>
      <c r="M85" s="122"/>
      <c r="N85" s="122"/>
      <c r="O85" s="122"/>
      <c r="P85" s="122"/>
      <c r="Q85" s="2"/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:26" ht="13.2" x14ac:dyDescent="0.25">
      <c r="A86" s="77" t="s">
        <v>112</v>
      </c>
      <c r="B86" s="78">
        <v>3</v>
      </c>
      <c r="C86" s="79">
        <v>0</v>
      </c>
      <c r="D86" s="80">
        <f ca="1">IFERROR(__xludf.DUMMYFUNCTION("$C80*IMPORTRANGE(""https://docs.google.com/spreadsheets/d/1xsp01RMmkav9iTy39Zaj_7tE9677EGlOJ14KU9TZn7I/"",""1985-2003!H1632"")"),0)</f>
        <v>0</v>
      </c>
      <c r="E86" s="80">
        <f ca="1">IFERROR(__xludf.DUMMYFUNCTION("$C80*IMPORTRANGE(""https://docs.google.com/spreadsheets/d/1xsp01RMmkav9iTy39Zaj_7tE9677EGlOJ14KU9TZn7I/"",""1985-2003!T1632"")"),0)</f>
        <v>0</v>
      </c>
      <c r="F86" s="80">
        <f ca="1">IFERROR(__xludf.DUMMYFUNCTION("$C80*IMPORTRANGE(""https://docs.google.com/spreadsheets/d/1xsp01RMmkav9iTy39Zaj_7tE9677EGlOJ14KU9TZn7I/"",""1985-2003!AC1632"")"),0)</f>
        <v>0</v>
      </c>
      <c r="G86" s="77" t="s">
        <v>8</v>
      </c>
      <c r="H86" s="121"/>
      <c r="I86" s="121"/>
      <c r="J86" s="121"/>
      <c r="K86" s="2"/>
      <c r="L86" s="3"/>
      <c r="M86" s="122"/>
      <c r="N86" s="122"/>
      <c r="O86" s="122"/>
      <c r="P86" s="122"/>
      <c r="Q86" s="2"/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:26" ht="13.2" x14ac:dyDescent="0.25">
      <c r="A87" s="58">
        <v>1991</v>
      </c>
      <c r="B87" s="59"/>
      <c r="C87" s="60"/>
      <c r="D87" s="60"/>
      <c r="E87" s="60"/>
      <c r="F87" s="60"/>
      <c r="G87" s="58"/>
      <c r="H87" s="121"/>
      <c r="I87" s="121"/>
      <c r="J87" s="121"/>
      <c r="K87" s="2"/>
      <c r="L87" s="3"/>
      <c r="M87" s="122"/>
      <c r="N87" s="122"/>
      <c r="O87" s="122"/>
      <c r="P87" s="122"/>
      <c r="Q87" s="2"/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:26" ht="13.2" x14ac:dyDescent="0.25">
      <c r="A88" s="61" t="s">
        <v>113</v>
      </c>
      <c r="B88" s="62">
        <v>1</v>
      </c>
      <c r="C88" s="63">
        <f>67.8/1000</f>
        <v>6.7799999999999999E-2</v>
      </c>
      <c r="D88" s="72">
        <f ca="1">IFERROR(__xludf.DUMMYFUNCTION("$C82*IMPORTRANGE(""https://docs.google.com/spreadsheets/d/1xsp01RMmkav9iTy39Zaj_7tE9677EGlOJ14KU9TZn7I/"",""1985-2003!H1656"")"),0.04880583)</f>
        <v>4.8805830000000001E-2</v>
      </c>
      <c r="E88" s="72">
        <f ca="1">IFERROR(__xludf.DUMMYFUNCTION("$C82*IMPORTRANGE(""https://docs.google.com/spreadsheets/d/1xsp01RMmkav9iTy39Zaj_7tE9677EGlOJ14KU9TZn7I/"",""1985-2003!T1656"")"),0.03499158)</f>
        <v>3.4991580000000001E-2</v>
      </c>
      <c r="F88" s="72">
        <f ca="1">IFERROR(__xludf.DUMMYFUNCTION("$C82*IMPORTRANGE(""https://docs.google.com/spreadsheets/d/1xsp01RMmkav9iTy39Zaj_7tE9677EGlOJ14KU9TZn7I/"",""1985-2003!AC1656"")"),9.00045)</f>
        <v>9.0004500000000007</v>
      </c>
      <c r="G88" s="61" t="s">
        <v>8</v>
      </c>
      <c r="H88" s="121"/>
      <c r="I88" s="121"/>
      <c r="J88" s="121"/>
      <c r="K88" s="2"/>
      <c r="L88" s="3"/>
      <c r="M88" s="122"/>
      <c r="N88" s="122"/>
      <c r="O88" s="122"/>
      <c r="P88" s="122"/>
      <c r="Q88" s="2"/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:26" ht="13.2" x14ac:dyDescent="0.25">
      <c r="A89" s="73" t="s">
        <v>114</v>
      </c>
      <c r="B89" s="74">
        <v>0</v>
      </c>
      <c r="C89" s="75">
        <v>0</v>
      </c>
      <c r="D89" s="76">
        <f ca="1">IFERROR(__xludf.DUMMYFUNCTION("$C83*IMPORTRANGE(""https://docs.google.com/spreadsheets/d/1xsp01RMmkav9iTy39Zaj_7tE9677EGlOJ14KU9TZn7I/"",""1985-2003!H1677"")"),0)</f>
        <v>0</v>
      </c>
      <c r="E89" s="76">
        <f ca="1">IFERROR(__xludf.DUMMYFUNCTION("$C83*IMPORTRANGE(""https://docs.google.com/spreadsheets/d/1xsp01RMmkav9iTy39Zaj_7tE9677EGlOJ14KU9TZn7I/"",""1985-2003!T1677"")"),0)</f>
        <v>0</v>
      </c>
      <c r="F89" s="76">
        <f ca="1">IFERROR(__xludf.DUMMYFUNCTION("$C83*IMPORTRANGE(""https://docs.google.com/spreadsheets/d/1xsp01RMmkav9iTy39Zaj_7tE9677EGlOJ14KU9TZn7I/"",""1985-2003!AC1677"")"),0)</f>
        <v>0</v>
      </c>
      <c r="G89" s="73" t="s">
        <v>8</v>
      </c>
      <c r="H89" s="121"/>
      <c r="I89" s="121"/>
      <c r="J89" s="121"/>
      <c r="K89" s="2"/>
      <c r="L89" s="3"/>
      <c r="M89" s="122"/>
      <c r="N89" s="122"/>
      <c r="O89" s="122"/>
      <c r="P89" s="122"/>
      <c r="Q89" s="2"/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:26" ht="13.2" x14ac:dyDescent="0.25">
      <c r="A90" s="61" t="s">
        <v>115</v>
      </c>
      <c r="B90" s="62">
        <v>2</v>
      </c>
      <c r="C90" s="63">
        <v>0</v>
      </c>
      <c r="D90" s="72">
        <f ca="1">IFERROR(__xludf.DUMMYFUNCTION("$C84*IMPORTRANGE(""https://docs.google.com/spreadsheets/d/1xsp01RMmkav9iTy39Zaj_7tE9677EGlOJ14KU9TZn7I/"",""1985-2003!H1699"")"),0)</f>
        <v>0</v>
      </c>
      <c r="E90" s="72">
        <f ca="1">IFERROR(__xludf.DUMMYFUNCTION("$C84*IMPORTRANGE(""https://docs.google.com/spreadsheets/d/1xsp01RMmkav9iTy39Zaj_7tE9677EGlOJ14KU9TZn7I/"",""1985-2003!T1699"")"),0)</f>
        <v>0</v>
      </c>
      <c r="F90" s="72">
        <f ca="1">IFERROR(__xludf.DUMMYFUNCTION("$C84*IMPORTRANGE(""https://docs.google.com/spreadsheets/d/1xsp01RMmkav9iTy39Zaj_7tE9677EGlOJ14KU9TZn7I/"",""1985-2003!AC1699"")"),0)</f>
        <v>0</v>
      </c>
      <c r="G90" s="61" t="s">
        <v>8</v>
      </c>
      <c r="H90" s="121"/>
      <c r="I90" s="121"/>
      <c r="J90" s="121"/>
      <c r="K90" s="2"/>
      <c r="L90" s="3"/>
      <c r="M90" s="122"/>
      <c r="N90" s="122"/>
      <c r="O90" s="122"/>
      <c r="P90" s="122"/>
      <c r="Q90" s="2"/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:26" ht="13.2" x14ac:dyDescent="0.25">
      <c r="A91" s="73" t="s">
        <v>116</v>
      </c>
      <c r="B91" s="74">
        <v>1</v>
      </c>
      <c r="C91" s="75">
        <f>470.6/1000</f>
        <v>0.47060000000000002</v>
      </c>
      <c r="D91" s="76">
        <f ca="1">IFERROR(__xludf.DUMMYFUNCTION("$C85*IMPORTRANGE(""https://docs.google.com/spreadsheets/d/1xsp01RMmkav9iTy39Zaj_7tE9677EGlOJ14KU9TZn7I/"",""1985-2003!H1722"")"),0.37760944)</f>
        <v>0.37760944000000002</v>
      </c>
      <c r="E91" s="76">
        <f ca="1">IFERROR(__xludf.DUMMYFUNCTION("$C85*IMPORTRANGE(""https://docs.google.com/spreadsheets/d/1xsp01RMmkav9iTy39Zaj_7tE9677EGlOJ14KU9TZn7I/"",""1985-2003!T1722"")"),0.26504192)</f>
        <v>0.26504191999999999</v>
      </c>
      <c r="F91" s="76">
        <f ca="1">IFERROR(__xludf.DUMMYFUNCTION("$C85*IMPORTRANGE(""https://docs.google.com/spreadsheets/d/1xsp01RMmkav9iTy39Zaj_7tE9677EGlOJ14KU9TZn7I/"",""1985-2003!AC1722"")"),64.603968)</f>
        <v>64.603967999999995</v>
      </c>
      <c r="G91" s="73" t="s">
        <v>8</v>
      </c>
      <c r="H91" s="121"/>
      <c r="I91" s="121"/>
      <c r="J91" s="121"/>
      <c r="K91" s="2"/>
      <c r="L91" s="3"/>
      <c r="M91" s="122"/>
      <c r="N91" s="122"/>
      <c r="O91" s="122"/>
      <c r="P91" s="122"/>
      <c r="Q91" s="2"/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:26" ht="13.2" x14ac:dyDescent="0.25">
      <c r="A92" s="61" t="s">
        <v>117</v>
      </c>
      <c r="B92" s="62">
        <v>0</v>
      </c>
      <c r="C92" s="63">
        <v>0</v>
      </c>
      <c r="D92" s="72">
        <f ca="1">IFERROR(__xludf.DUMMYFUNCTION("$C86*IMPORTRANGE(""https://docs.google.com/spreadsheets/d/1xsp01RMmkav9iTy39Zaj_7tE9677EGlOJ14KU9TZn7I/"",""1985-2003!H1746"")"),0)</f>
        <v>0</v>
      </c>
      <c r="E92" s="72">
        <f ca="1">IFERROR(__xludf.DUMMYFUNCTION("$C86*IMPORTRANGE(""https://docs.google.com/spreadsheets/d/1xsp01RMmkav9iTy39Zaj_7tE9677EGlOJ14KU9TZn7I/"",""1985-2003!T1746"")"),0)</f>
        <v>0</v>
      </c>
      <c r="F92" s="72">
        <f ca="1">IFERROR(__xludf.DUMMYFUNCTION("$C86*IMPORTRANGE(""https://docs.google.com/spreadsheets/d/1xsp01RMmkav9iTy39Zaj_7tE9677EGlOJ14KU9TZn7I/"",""1985-2003!AC1746"")"),0)</f>
        <v>0</v>
      </c>
      <c r="G92" s="61" t="s">
        <v>8</v>
      </c>
      <c r="H92" s="121"/>
      <c r="I92" s="121"/>
      <c r="J92" s="121"/>
      <c r="K92" s="2"/>
      <c r="L92" s="3"/>
      <c r="M92" s="122"/>
      <c r="N92" s="122"/>
      <c r="O92" s="122"/>
      <c r="P92" s="122"/>
      <c r="Q92" s="2"/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:26" ht="13.2" x14ac:dyDescent="0.25">
      <c r="A93" s="73" t="s">
        <v>118</v>
      </c>
      <c r="B93" s="74">
        <v>1</v>
      </c>
      <c r="C93" s="75">
        <v>0</v>
      </c>
      <c r="D93" s="76">
        <f ca="1">IFERROR(__xludf.DUMMYFUNCTION("$C87*IMPORTRANGE(""https://docs.google.com/spreadsheets/d/1xsp01RMmkav9iTy39Zaj_7tE9677EGlOJ14KU9TZn7I/"",""1985-2003!H1767"")"),0)</f>
        <v>0</v>
      </c>
      <c r="E93" s="76">
        <f ca="1">IFERROR(__xludf.DUMMYFUNCTION("$C87*IMPORTRANGE(""https://docs.google.com/spreadsheets/d/1xsp01RMmkav9iTy39Zaj_7tE9677EGlOJ14KU9TZn7I/"",""1985-2003!T1767"")"),0)</f>
        <v>0</v>
      </c>
      <c r="F93" s="76">
        <f ca="1">IFERROR(__xludf.DUMMYFUNCTION("$C87*IMPORTRANGE(""https://docs.google.com/spreadsheets/d/1xsp01RMmkav9iTy39Zaj_7tE9677EGlOJ14KU9TZn7I/"",""1985-2003!AC1767"")"),0)</f>
        <v>0</v>
      </c>
      <c r="G93" s="73" t="s">
        <v>8</v>
      </c>
      <c r="H93" s="121"/>
      <c r="I93" s="121"/>
      <c r="J93" s="121"/>
      <c r="K93" s="2"/>
      <c r="L93" s="3"/>
      <c r="M93" s="122"/>
      <c r="N93" s="122"/>
      <c r="O93" s="122"/>
      <c r="P93" s="122"/>
      <c r="Q93" s="2"/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:26" ht="13.2" x14ac:dyDescent="0.25">
      <c r="A94" s="61" t="s">
        <v>119</v>
      </c>
      <c r="B94" s="62">
        <v>1</v>
      </c>
      <c r="C94" s="63">
        <f>150/1000</f>
        <v>0.15</v>
      </c>
      <c r="D94" s="72">
        <f ca="1">IFERROR(__xludf.DUMMYFUNCTION("$C88*IMPORTRANGE(""https://docs.google.com/spreadsheets/d/1xsp01RMmkav9iTy39Zaj_7tE9677EGlOJ14KU9TZn7I/"",""1985-2003!H1791"")"),0.12852)</f>
        <v>0.12852</v>
      </c>
      <c r="E94" s="72">
        <f ca="1">IFERROR(__xludf.DUMMYFUNCTION("$C88*IMPORTRANGE(""https://docs.google.com/spreadsheets/d/1xsp01RMmkav9iTy39Zaj_7tE9677EGlOJ14KU9TZn7I/"",""1985-2003!T1791"")"),0.09102)</f>
        <v>9.1020000000000004E-2</v>
      </c>
      <c r="F94" s="72">
        <f ca="1">IFERROR(__xludf.DUMMYFUNCTION("$C88*IMPORTRANGE(""https://docs.google.com/spreadsheets/d/1xsp01RMmkav9iTy39Zaj_7tE9677EGlOJ14KU9TZn7I/"",""1985-2003!AC1791"")"),20.67)</f>
        <v>20.67</v>
      </c>
      <c r="G94" s="61" t="s">
        <v>8</v>
      </c>
      <c r="H94" s="121"/>
      <c r="I94" s="121"/>
      <c r="J94" s="121"/>
      <c r="K94" s="2"/>
      <c r="L94" s="3"/>
      <c r="M94" s="122"/>
      <c r="N94" s="122"/>
      <c r="O94" s="122"/>
      <c r="P94" s="122"/>
      <c r="Q94" s="2"/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:26" ht="13.2" x14ac:dyDescent="0.25">
      <c r="A95" s="73" t="s">
        <v>120</v>
      </c>
      <c r="B95" s="74">
        <v>0</v>
      </c>
      <c r="C95" s="75">
        <v>0</v>
      </c>
      <c r="D95" s="76">
        <f ca="1">IFERROR(__xludf.DUMMYFUNCTION("$C89*IMPORTRANGE(""https://docs.google.com/spreadsheets/d/1xsp01RMmkav9iTy39Zaj_7tE9677EGlOJ14KU9TZn7I/"",""1985-2003!H1814"")"),0)</f>
        <v>0</v>
      </c>
      <c r="E95" s="76">
        <f ca="1">IFERROR(__xludf.DUMMYFUNCTION("$C89*IMPORTRANGE(""https://docs.google.com/spreadsheets/d/1xsp01RMmkav9iTy39Zaj_7tE9677EGlOJ14KU9TZn7I/"",""1985-2003!T1814"")"),0)</f>
        <v>0</v>
      </c>
      <c r="F95" s="76">
        <f ca="1">IFERROR(__xludf.DUMMYFUNCTION("$C89*IMPORTRANGE(""https://docs.google.com/spreadsheets/d/1xsp01RMmkav9iTy39Zaj_7tE9677EGlOJ14KU9TZn7I/"",""1985-2003!AC1814"")"),0)</f>
        <v>0</v>
      </c>
      <c r="G95" s="73" t="s">
        <v>8</v>
      </c>
      <c r="H95" s="121"/>
      <c r="I95" s="121"/>
      <c r="J95" s="121"/>
      <c r="K95" s="2"/>
      <c r="L95" s="3"/>
      <c r="M95" s="122"/>
      <c r="N95" s="122"/>
      <c r="O95" s="122"/>
      <c r="P95" s="122"/>
      <c r="Q95" s="2"/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:26" ht="13.2" x14ac:dyDescent="0.25">
      <c r="A96" s="61" t="s">
        <v>121</v>
      </c>
      <c r="B96" s="62">
        <v>1</v>
      </c>
      <c r="C96" s="63">
        <v>0</v>
      </c>
      <c r="D96" s="72">
        <f ca="1">IFERROR(__xludf.DUMMYFUNCTION("$C90*IMPORTRANGE(""https://docs.google.com/spreadsheets/d/1xsp01RMmkav9iTy39Zaj_7tE9677EGlOJ14KU9TZn7I/"",""1985-2003!H1836"")"),0)</f>
        <v>0</v>
      </c>
      <c r="E96" s="72">
        <f ca="1">IFERROR(__xludf.DUMMYFUNCTION("$C90*IMPORTRANGE(""https://docs.google.com/spreadsheets/d/1xsp01RMmkav9iTy39Zaj_7tE9677EGlOJ14KU9TZn7I/"",""1985-2003!T1836"")"),0)</f>
        <v>0</v>
      </c>
      <c r="F96" s="72">
        <f ca="1">IFERROR(__xludf.DUMMYFUNCTION("$C90*IMPORTRANGE(""https://docs.google.com/spreadsheets/d/1xsp01RMmkav9iTy39Zaj_7tE9677EGlOJ14KU9TZn7I/"",""1985-2003!AC1836"")"),0)</f>
        <v>0</v>
      </c>
      <c r="G96" s="61" t="s">
        <v>8</v>
      </c>
      <c r="H96" s="121"/>
      <c r="I96" s="121"/>
      <c r="J96" s="121"/>
      <c r="K96" s="2"/>
      <c r="L96" s="3"/>
      <c r="M96" s="122"/>
      <c r="N96" s="122"/>
      <c r="O96" s="122"/>
      <c r="P96" s="122"/>
      <c r="Q96" s="2"/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:26" ht="13.2" x14ac:dyDescent="0.25">
      <c r="A97" s="73" t="s">
        <v>122</v>
      </c>
      <c r="B97" s="74">
        <v>0</v>
      </c>
      <c r="C97" s="75">
        <v>0</v>
      </c>
      <c r="D97" s="76">
        <f ca="1">IFERROR(__xludf.DUMMYFUNCTION("$C91*IMPORTRANGE(""https://docs.google.com/spreadsheets/d/1xsp01RMmkav9iTy39Zaj_7tE9677EGlOJ14KU9TZn7I/"",""1985-2003!H1860"")"),0)</f>
        <v>0</v>
      </c>
      <c r="E97" s="76">
        <f ca="1">IFERROR(__xludf.DUMMYFUNCTION("$C91*IMPORTRANGE(""https://docs.google.com/spreadsheets/d/1xsp01RMmkav9iTy39Zaj_7tE9677EGlOJ14KU9TZn7I/"",""1985-2003!T1860"")"),0)</f>
        <v>0</v>
      </c>
      <c r="F97" s="76">
        <f ca="1">IFERROR(__xludf.DUMMYFUNCTION("$C91*IMPORTRANGE(""https://docs.google.com/spreadsheets/d/1xsp01RMmkav9iTy39Zaj_7tE9677EGlOJ14KU9TZn7I/"",""1985-2003!AC1860"")"),0)</f>
        <v>0</v>
      </c>
      <c r="G97" s="73" t="s">
        <v>8</v>
      </c>
      <c r="H97" s="121"/>
      <c r="I97" s="121"/>
      <c r="J97" s="121"/>
      <c r="K97" s="2"/>
      <c r="L97" s="3"/>
      <c r="M97" s="122"/>
      <c r="N97" s="122"/>
      <c r="O97" s="122"/>
      <c r="P97" s="122"/>
      <c r="Q97" s="2"/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:26" ht="13.2" x14ac:dyDescent="0.25">
      <c r="A98" s="61" t="s">
        <v>123</v>
      </c>
      <c r="B98" s="62">
        <v>1</v>
      </c>
      <c r="C98" s="63">
        <f>2.75/1000</f>
        <v>2.7499999999999998E-3</v>
      </c>
      <c r="D98" s="72">
        <f ca="1">IFERROR(__xludf.DUMMYFUNCTION("$C92*IMPORTRANGE(""https://docs.google.com/spreadsheets/d/1xsp01RMmkav9iTy39Zaj_7tE9677EGlOJ14KU9TZn7I/"",""1985-2003!H1882"")"),0.00215407499999999)</f>
        <v>2.1540749999999901E-3</v>
      </c>
      <c r="E98" s="72">
        <f ca="1">IFERROR(__xludf.DUMMYFUNCTION("$C92*IMPORTRANGE(""https://docs.google.com/spreadsheets/d/1xsp01RMmkav9iTy39Zaj_7tE9677EGlOJ14KU9TZn7I/"",""1985-2003!T1882"")"),0.00154935)</f>
        <v>1.5493499999999999E-3</v>
      </c>
      <c r="F98" s="72">
        <f ca="1">IFERROR(__xludf.DUMMYFUNCTION("$C92*IMPORTRANGE(""https://docs.google.com/spreadsheets/d/1xsp01RMmkav9iTy39Zaj_7tE9677EGlOJ14KU9TZn7I/"",""1985-2003!AC1882"")"),0.35717)</f>
        <v>0.35716999999999999</v>
      </c>
      <c r="G98" s="61" t="s">
        <v>8</v>
      </c>
      <c r="H98" s="121"/>
      <c r="I98" s="121"/>
      <c r="J98" s="121"/>
      <c r="K98" s="2"/>
      <c r="L98" s="3"/>
      <c r="M98" s="122"/>
      <c r="N98" s="122"/>
      <c r="O98" s="122"/>
      <c r="P98" s="122"/>
      <c r="Q98" s="2"/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:26" ht="13.2" x14ac:dyDescent="0.25">
      <c r="A99" s="77" t="s">
        <v>124</v>
      </c>
      <c r="B99" s="78">
        <v>2</v>
      </c>
      <c r="C99" s="79">
        <v>0</v>
      </c>
      <c r="D99" s="80">
        <f ca="1">IFERROR(__xludf.DUMMYFUNCTION("$C93*IMPORTRANGE(""https://docs.google.com/spreadsheets/d/1xsp01RMmkav9iTy39Zaj_7tE9677EGlOJ14KU9TZn7I/"",""1985-2003!H1905"")"),0)</f>
        <v>0</v>
      </c>
      <c r="E99" s="80">
        <f ca="1">IFERROR(__xludf.DUMMYFUNCTION("$C93*IMPORTRANGE(""https://docs.google.com/spreadsheets/d/1xsp01RMmkav9iTy39Zaj_7tE9677EGlOJ14KU9TZn7I/"",""1985-2003!T1905"")"),0)</f>
        <v>0</v>
      </c>
      <c r="F99" s="80">
        <f ca="1">IFERROR(__xludf.DUMMYFUNCTION("$C93*IMPORTRANGE(""https://docs.google.com/spreadsheets/d/1xsp01RMmkav9iTy39Zaj_7tE9677EGlOJ14KU9TZn7I/"",""1985-2003!AC1905"")"),0)</f>
        <v>0</v>
      </c>
      <c r="G99" s="77" t="s">
        <v>8</v>
      </c>
      <c r="H99" s="121"/>
      <c r="I99" s="121"/>
      <c r="J99" s="121"/>
      <c r="K99" s="2"/>
      <c r="L99" s="3"/>
      <c r="M99" s="122"/>
      <c r="N99" s="122"/>
      <c r="O99" s="122"/>
      <c r="P99" s="122"/>
      <c r="Q99" s="2"/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:26" ht="13.2" x14ac:dyDescent="0.25">
      <c r="A100" s="58">
        <v>1992</v>
      </c>
      <c r="B100" s="59"/>
      <c r="C100" s="60"/>
      <c r="D100" s="60"/>
      <c r="E100" s="60"/>
      <c r="F100" s="60"/>
      <c r="G100" s="58"/>
      <c r="H100" s="121"/>
      <c r="I100" s="121"/>
      <c r="J100" s="121"/>
      <c r="K100" s="2"/>
      <c r="L100" s="3"/>
      <c r="M100" s="122"/>
      <c r="N100" s="122"/>
      <c r="O100" s="122"/>
      <c r="P100" s="122"/>
      <c r="Q100" s="2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:26" ht="13.2" x14ac:dyDescent="0.25">
      <c r="A101" s="61" t="s">
        <v>125</v>
      </c>
      <c r="B101" s="62">
        <v>0</v>
      </c>
      <c r="C101" s="63">
        <v>0</v>
      </c>
      <c r="D101" s="72">
        <f ca="1">IFERROR(__xludf.DUMMYFUNCTION("$C95*IMPORTRANGE(""https://docs.google.com/spreadsheets/d/1xsp01RMmkav9iTy39Zaj_7tE9677EGlOJ14KU9TZn7I/"",""1985-2003!H1930"")"),0)</f>
        <v>0</v>
      </c>
      <c r="E101" s="72">
        <f ca="1">IFERROR(__xludf.DUMMYFUNCTION("$C95*IMPORTRANGE(""https://docs.google.com/spreadsheets/d/1xsp01RMmkav9iTy39Zaj_7tE9677EGlOJ14KU9TZn7I/"",""1985-2003!T1930"")"),0)</f>
        <v>0</v>
      </c>
      <c r="F101" s="72">
        <f ca="1">IFERROR(__xludf.DUMMYFUNCTION("$C95*IMPORTRANGE(""https://docs.google.com/spreadsheets/d/1xsp01RMmkav9iTy39Zaj_7tE9677EGlOJ14KU9TZn7I/"",""1985-2003!AC1930"")"),0)</f>
        <v>0</v>
      </c>
      <c r="G101" s="61" t="s">
        <v>8</v>
      </c>
      <c r="H101" s="121"/>
      <c r="I101" s="121"/>
      <c r="J101" s="121"/>
      <c r="K101" s="2"/>
      <c r="L101" s="3"/>
      <c r="M101" s="122"/>
      <c r="N101" s="122"/>
      <c r="O101" s="122"/>
      <c r="P101" s="122"/>
      <c r="Q101" s="2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:26" ht="13.2" x14ac:dyDescent="0.25">
      <c r="A102" s="73" t="s">
        <v>126</v>
      </c>
      <c r="B102" s="74">
        <v>0</v>
      </c>
      <c r="C102" s="75">
        <v>0</v>
      </c>
      <c r="D102" s="76">
        <f ca="1">IFERROR(__xludf.DUMMYFUNCTION("$C96*IMPORTRANGE(""https://docs.google.com/spreadsheets/d/1xsp01RMmkav9iTy39Zaj_7tE9677EGlOJ14KU9TZn7I/"",""1985-2003!H1951"")"),0)</f>
        <v>0</v>
      </c>
      <c r="E102" s="76">
        <f ca="1">IFERROR(__xludf.DUMMYFUNCTION("$C96*IMPORTRANGE(""https://docs.google.com/spreadsheets/d/1xsp01RMmkav9iTy39Zaj_7tE9677EGlOJ14KU9TZn7I/"",""1985-2003!T1951"")"),0)</f>
        <v>0</v>
      </c>
      <c r="F102" s="76">
        <f ca="1">IFERROR(__xludf.DUMMYFUNCTION("$C96*IMPORTRANGE(""https://docs.google.com/spreadsheets/d/1xsp01RMmkav9iTy39Zaj_7tE9677EGlOJ14KU9TZn7I/"",""1985-2003!AC1951"")"),0)</f>
        <v>0</v>
      </c>
      <c r="G102" s="73" t="s">
        <v>8</v>
      </c>
      <c r="H102" s="121"/>
      <c r="I102" s="121"/>
      <c r="J102" s="121"/>
      <c r="K102" s="2"/>
      <c r="L102" s="3"/>
      <c r="M102" s="122"/>
      <c r="N102" s="122"/>
      <c r="O102" s="122"/>
      <c r="P102" s="122"/>
      <c r="Q102" s="2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:26" ht="13.2" x14ac:dyDescent="0.25">
      <c r="A103" s="61" t="s">
        <v>127</v>
      </c>
      <c r="B103" s="62">
        <v>1</v>
      </c>
      <c r="C103" s="63">
        <f>1.37/1000</f>
        <v>1.3700000000000001E-3</v>
      </c>
      <c r="D103" s="72">
        <f ca="1">IFERROR(__xludf.DUMMYFUNCTION("$C97*IMPORTRANGE(""https://docs.google.com/spreadsheets/d/1xsp01RMmkav9iTy39Zaj_7tE9677EGlOJ14KU9TZn7I/"",""1985-2003!H1974"")"),0.0010938765)</f>
        <v>1.0938765000000001E-3</v>
      </c>
      <c r="E103" s="72">
        <f ca="1">IFERROR(__xludf.DUMMYFUNCTION("$C97*IMPORTRANGE(""https://docs.google.com/spreadsheets/d/1xsp01RMmkav9iTy39Zaj_7tE9677EGlOJ14KU9TZn7I/"",""1985-2003!T1974"")"),0.000794463)</f>
        <v>7.9446300000000003E-4</v>
      </c>
      <c r="F103" s="72">
        <f ca="1">IFERROR(__xludf.DUMMYFUNCTION("$C97*IMPORTRANGE(""https://docs.google.com/spreadsheets/d/1xsp01RMmkav9iTy39Zaj_7tE9677EGlOJ14KU9TZn7I/"",""1985-2003!AC1974"")"),0.1821415)</f>
        <v>0.18214150000000001</v>
      </c>
      <c r="G103" s="61" t="s">
        <v>8</v>
      </c>
      <c r="H103" s="121"/>
      <c r="I103" s="121"/>
      <c r="J103" s="121"/>
      <c r="K103" s="2"/>
      <c r="L103" s="3"/>
      <c r="M103" s="122"/>
      <c r="N103" s="122"/>
      <c r="O103" s="122"/>
      <c r="P103" s="122"/>
      <c r="Q103" s="2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:26" ht="13.2" x14ac:dyDescent="0.25">
      <c r="A104" s="73" t="s">
        <v>128</v>
      </c>
      <c r="B104" s="74">
        <v>0</v>
      </c>
      <c r="C104" s="75">
        <v>0</v>
      </c>
      <c r="D104" s="76">
        <f ca="1">IFERROR(__xludf.DUMMYFUNCTION("$C98*IMPORTRANGE(""https://docs.google.com/spreadsheets/d/1xsp01RMmkav9iTy39Zaj_7tE9677EGlOJ14KU9TZn7I/"",""1985-2003!H1997"")"),0)</f>
        <v>0</v>
      </c>
      <c r="E104" s="76">
        <f ca="1">IFERROR(__xludf.DUMMYFUNCTION("$C98*IMPORTRANGE(""https://docs.google.com/spreadsheets/d/1xsp01RMmkav9iTy39Zaj_7tE9677EGlOJ14KU9TZn7I/"",""1985-2003!T1997"")"),0)</f>
        <v>0</v>
      </c>
      <c r="F104" s="76">
        <f ca="1">IFERROR(__xludf.DUMMYFUNCTION("$C98*IMPORTRANGE(""https://docs.google.com/spreadsheets/d/1xsp01RMmkav9iTy39Zaj_7tE9677EGlOJ14KU9TZn7I/"",""1985-2003!AC1997"")"),0)</f>
        <v>0</v>
      </c>
      <c r="G104" s="73" t="s">
        <v>8</v>
      </c>
      <c r="H104" s="121"/>
      <c r="I104" s="121"/>
      <c r="J104" s="121"/>
      <c r="K104" s="2"/>
      <c r="L104" s="3"/>
      <c r="M104" s="122"/>
      <c r="N104" s="122"/>
      <c r="O104" s="122"/>
      <c r="P104" s="122"/>
      <c r="Q104" s="2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:26" ht="13.2" x14ac:dyDescent="0.25">
      <c r="A105" s="61" t="s">
        <v>129</v>
      </c>
      <c r="B105" s="62">
        <v>0</v>
      </c>
      <c r="C105" s="63">
        <v>0</v>
      </c>
      <c r="D105" s="72">
        <f ca="1">IFERROR(__xludf.DUMMYFUNCTION("$C99*IMPORTRANGE(""https://docs.google.com/spreadsheets/d/1xsp01RMmkav9iTy39Zaj_7tE9677EGlOJ14KU9TZn7I/"",""1985-2003!H2019"")"),0)</f>
        <v>0</v>
      </c>
      <c r="E105" s="72">
        <f ca="1">IFERROR(__xludf.DUMMYFUNCTION("$C99*IMPORTRANGE(""https://docs.google.com/spreadsheets/d/1xsp01RMmkav9iTy39Zaj_7tE9677EGlOJ14KU9TZn7I/"",""1985-2003!T2019"")"),0)</f>
        <v>0</v>
      </c>
      <c r="F105" s="72">
        <f ca="1">IFERROR(__xludf.DUMMYFUNCTION("$C99*IMPORTRANGE(""https://docs.google.com/spreadsheets/d/1xsp01RMmkav9iTy39Zaj_7tE9677EGlOJ14KU9TZn7I/"",""1985-2003!AC2019"")"),0)</f>
        <v>0</v>
      </c>
      <c r="G105" s="61" t="s">
        <v>8</v>
      </c>
      <c r="H105" s="121"/>
      <c r="I105" s="121"/>
      <c r="J105" s="121"/>
      <c r="K105" s="2"/>
      <c r="L105" s="3"/>
      <c r="M105" s="122"/>
      <c r="N105" s="122"/>
      <c r="O105" s="122"/>
      <c r="P105" s="122"/>
      <c r="Q105" s="2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:26" ht="13.2" x14ac:dyDescent="0.25">
      <c r="A106" s="73" t="s">
        <v>130</v>
      </c>
      <c r="B106" s="74">
        <v>1</v>
      </c>
      <c r="C106" s="75">
        <v>0</v>
      </c>
      <c r="D106" s="76">
        <f ca="1">IFERROR(__xludf.DUMMYFUNCTION("$C100*IMPORTRANGE(""https://docs.google.com/spreadsheets/d/1xsp01RMmkav9iTy39Zaj_7tE9677EGlOJ14KU9TZn7I/"",""1985-2003!H2042"")"),0)</f>
        <v>0</v>
      </c>
      <c r="E106" s="76">
        <f ca="1">IFERROR(__xludf.DUMMYFUNCTION("$C100*IMPORTRANGE(""https://docs.google.com/spreadsheets/d/1xsp01RMmkav9iTy39Zaj_7tE9677EGlOJ14KU9TZn7I/"",""1985-2003!T2042"")"),0)</f>
        <v>0</v>
      </c>
      <c r="F106" s="76">
        <f ca="1">IFERROR(__xludf.DUMMYFUNCTION("$C100*IMPORTRANGE(""https://docs.google.com/spreadsheets/d/1xsp01RMmkav9iTy39Zaj_7tE9677EGlOJ14KU9TZn7I/"",""1985-2003!AC2042"")"),0)</f>
        <v>0</v>
      </c>
      <c r="G106" s="73" t="s">
        <v>8</v>
      </c>
      <c r="H106" s="121"/>
      <c r="I106" s="121"/>
      <c r="J106" s="121"/>
      <c r="K106" s="2"/>
      <c r="L106" s="3"/>
      <c r="M106" s="122"/>
      <c r="N106" s="122"/>
      <c r="O106" s="122"/>
      <c r="P106" s="122"/>
      <c r="Q106" s="2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:26" ht="13.2" x14ac:dyDescent="0.25">
      <c r="A107" s="61" t="s">
        <v>131</v>
      </c>
      <c r="B107" s="62">
        <v>1</v>
      </c>
      <c r="C107" s="63">
        <v>0</v>
      </c>
      <c r="D107" s="72">
        <f ca="1">IFERROR(__xludf.DUMMYFUNCTION("$C101*IMPORTRANGE(""https://docs.google.com/spreadsheets/d/1xsp01RMmkav9iTy39Zaj_7tE9677EGlOJ14KU9TZn7I/"",""1985-2003!H2066"")"),0)</f>
        <v>0</v>
      </c>
      <c r="E107" s="72">
        <f ca="1">IFERROR(__xludf.DUMMYFUNCTION("$C101*IMPORTRANGE(""https://docs.google.com/spreadsheets/d/1xsp01RMmkav9iTy39Zaj_7tE9677EGlOJ14KU9TZn7I/"",""1985-2003!T2066"")"),0)</f>
        <v>0</v>
      </c>
      <c r="F107" s="72">
        <f ca="1">IFERROR(__xludf.DUMMYFUNCTION("$C101*IMPORTRANGE(""https://docs.google.com/spreadsheets/d/1xsp01RMmkav9iTy39Zaj_7tE9677EGlOJ14KU9TZn7I/"",""1985-2003!AC2066"")"),0)</f>
        <v>0</v>
      </c>
      <c r="G107" s="61" t="s">
        <v>8</v>
      </c>
      <c r="H107" s="121"/>
      <c r="I107" s="121"/>
      <c r="J107" s="121"/>
      <c r="K107" s="2"/>
      <c r="L107" s="3"/>
      <c r="M107" s="122"/>
      <c r="N107" s="122"/>
      <c r="O107" s="122"/>
      <c r="P107" s="122"/>
      <c r="Q107" s="2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:26" ht="13.2" x14ac:dyDescent="0.25">
      <c r="A108" s="73" t="s">
        <v>132</v>
      </c>
      <c r="B108" s="74">
        <v>0</v>
      </c>
      <c r="C108" s="75">
        <v>0</v>
      </c>
      <c r="D108" s="76">
        <f ca="1">IFERROR(__xludf.DUMMYFUNCTION("$C102*IMPORTRANGE(""https://docs.google.com/spreadsheets/d/1xsp01RMmkav9iTy39Zaj_7tE9677EGlOJ14KU9TZn7I/"",""1985-2003!H2088"")"),0)</f>
        <v>0</v>
      </c>
      <c r="E108" s="76">
        <f ca="1">IFERROR(__xludf.DUMMYFUNCTION("$C102*IMPORTRANGE(""https://docs.google.com/spreadsheets/d/1xsp01RMmkav9iTy39Zaj_7tE9677EGlOJ14KU9TZn7I/"",""1985-2003!T2088"")"),0)</f>
        <v>0</v>
      </c>
      <c r="F108" s="76">
        <f ca="1">IFERROR(__xludf.DUMMYFUNCTION("$C102*IMPORTRANGE(""https://docs.google.com/spreadsheets/d/1xsp01RMmkav9iTy39Zaj_7tE9677EGlOJ14KU9TZn7I/"",""1985-2003!AC2088"")"),0)</f>
        <v>0</v>
      </c>
      <c r="G108" s="73" t="s">
        <v>8</v>
      </c>
      <c r="H108" s="121"/>
      <c r="I108" s="121"/>
      <c r="J108" s="121"/>
      <c r="K108" s="2"/>
      <c r="L108" s="3"/>
      <c r="M108" s="122"/>
      <c r="N108" s="122"/>
      <c r="O108" s="122"/>
      <c r="P108" s="122"/>
      <c r="Q108" s="2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:26" ht="13.2" x14ac:dyDescent="0.25">
      <c r="A109" s="61" t="s">
        <v>133</v>
      </c>
      <c r="B109" s="62">
        <v>1</v>
      </c>
      <c r="C109" s="63">
        <v>0</v>
      </c>
      <c r="D109" s="72">
        <f ca="1">IFERROR(__xludf.DUMMYFUNCTION("$C103*IMPORTRANGE(""https://docs.google.com/spreadsheets/d/1xsp01RMmkav9iTy39Zaj_7tE9677EGlOJ14KU9TZn7I/"",""1985-2003!H2111"")"),0)</f>
        <v>0</v>
      </c>
      <c r="E109" s="72">
        <f ca="1">IFERROR(__xludf.DUMMYFUNCTION("$C103*IMPORTRANGE(""https://docs.google.com/spreadsheets/d/1xsp01RMmkav9iTy39Zaj_7tE9677EGlOJ14KU9TZn7I/"",""1985-2003!T2111"")"),0)</f>
        <v>0</v>
      </c>
      <c r="F109" s="72">
        <f ca="1">IFERROR(__xludf.DUMMYFUNCTION("$C103*IMPORTRANGE(""https://docs.google.com/spreadsheets/d/1xsp01RMmkav9iTy39Zaj_7tE9677EGlOJ14KU9TZn7I/"",""1985-2003!AC2111"")"),0)</f>
        <v>0</v>
      </c>
      <c r="G109" s="61" t="s">
        <v>8</v>
      </c>
      <c r="H109" s="121"/>
      <c r="I109" s="121"/>
      <c r="J109" s="121"/>
      <c r="K109" s="2"/>
      <c r="L109" s="3"/>
      <c r="M109" s="122"/>
      <c r="N109" s="122"/>
      <c r="O109" s="122"/>
      <c r="P109" s="122"/>
      <c r="Q109" s="2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:26" ht="13.2" x14ac:dyDescent="0.25">
      <c r="A110" s="73" t="s">
        <v>134</v>
      </c>
      <c r="B110" s="74">
        <v>1</v>
      </c>
      <c r="C110" s="75">
        <f>596/1000</f>
        <v>0.59599999999999997</v>
      </c>
      <c r="D110" s="76">
        <f ca="1">IFERROR(__xludf.DUMMYFUNCTION("$C104*IMPORTRANGE(""https://docs.google.com/spreadsheets/d/1xsp01RMmkav9iTy39Zaj_7tE9677EGlOJ14KU9TZn7I/"",""1985-2003!H2134"")"),0.437463999999999)</f>
        <v>0.43746399999999902</v>
      </c>
      <c r="E110" s="76">
        <f ca="1">IFERROR(__xludf.DUMMYFUNCTION("$C104*IMPORTRANGE(""https://docs.google.com/spreadsheets/d/1xsp01RMmkav9iTy39Zaj_7tE9677EGlOJ14KU9TZn7I/"",""1985-2003!T2134"")"),0.355514)</f>
        <v>0.355514</v>
      </c>
      <c r="F110" s="76">
        <f ca="1">IFERROR(__xludf.DUMMYFUNCTION("$C104*IMPORTRANGE(""https://docs.google.com/spreadsheets/d/1xsp01RMmkav9iTy39Zaj_7tE9677EGlOJ14KU9TZn7I/"",""1985-2003!AC2134"")"),72.16964)</f>
        <v>72.169640000000001</v>
      </c>
      <c r="G110" s="73" t="s">
        <v>8</v>
      </c>
      <c r="H110" s="121"/>
      <c r="I110" s="121"/>
      <c r="J110" s="121"/>
      <c r="K110" s="2"/>
      <c r="L110" s="3"/>
      <c r="M110" s="122"/>
      <c r="N110" s="122"/>
      <c r="O110" s="122"/>
      <c r="P110" s="122"/>
      <c r="Q110" s="2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:26" ht="13.2" x14ac:dyDescent="0.25">
      <c r="A111" s="61" t="s">
        <v>135</v>
      </c>
      <c r="B111" s="62">
        <v>0</v>
      </c>
      <c r="C111" s="63">
        <v>0</v>
      </c>
      <c r="D111" s="72">
        <f ca="1">IFERROR(__xludf.DUMMYFUNCTION("$C105*IMPORTRANGE(""https://docs.google.com/spreadsheets/d/1xsp01RMmkav9iTy39Zaj_7tE9677EGlOJ14KU9TZn7I/"",""1985-2003!H2156"")"),0)</f>
        <v>0</v>
      </c>
      <c r="E111" s="72">
        <f ca="1">IFERROR(__xludf.DUMMYFUNCTION("$C105*IMPORTRANGE(""https://docs.google.com/spreadsheets/d/1xsp01RMmkav9iTy39Zaj_7tE9677EGlOJ14KU9TZn7I/"",""1985-2003!T2156"")"),0)</f>
        <v>0</v>
      </c>
      <c r="F111" s="72">
        <f ca="1">IFERROR(__xludf.DUMMYFUNCTION("$C105*IMPORTRANGE(""https://docs.google.com/spreadsheets/d/1xsp01RMmkav9iTy39Zaj_7tE9677EGlOJ14KU9TZn7I/"",""1985-2003!AC2156"")"),0)</f>
        <v>0</v>
      </c>
      <c r="G111" s="61" t="s">
        <v>8</v>
      </c>
      <c r="H111" s="121"/>
      <c r="I111" s="121"/>
      <c r="J111" s="121"/>
      <c r="K111" s="2"/>
      <c r="L111" s="3"/>
      <c r="M111" s="122"/>
      <c r="N111" s="122"/>
      <c r="O111" s="122"/>
      <c r="P111" s="122"/>
      <c r="Q111" s="2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:26" ht="13.2" x14ac:dyDescent="0.25">
      <c r="A112" s="77" t="s">
        <v>136</v>
      </c>
      <c r="B112" s="78">
        <v>2</v>
      </c>
      <c r="C112" s="79">
        <v>0</v>
      </c>
      <c r="D112" s="80">
        <f ca="1">IFERROR(__xludf.DUMMYFUNCTION("$C106*IMPORTRANGE(""https://docs.google.com/spreadsheets/d/1xsp01RMmkav9iTy39Zaj_7tE9677EGlOJ14KU9TZn7I/"",""1985-2003!H2180"")"),0)</f>
        <v>0</v>
      </c>
      <c r="E112" s="80">
        <f ca="1">IFERROR(__xludf.DUMMYFUNCTION("$C106*IMPORTRANGE(""https://docs.google.com/spreadsheets/d/1xsp01RMmkav9iTy39Zaj_7tE9677EGlOJ14KU9TZn7I/"",""1985-2003!T2180"")"),0)</f>
        <v>0</v>
      </c>
      <c r="F112" s="80">
        <f ca="1">IFERROR(__xludf.DUMMYFUNCTION("$C106*IMPORTRANGE(""https://docs.google.com/spreadsheets/d/1xsp01RMmkav9iTy39Zaj_7tE9677EGlOJ14KU9TZn7I/"",""1985-2003!AC2180"")"),0)</f>
        <v>0</v>
      </c>
      <c r="G112" s="77" t="s">
        <v>8</v>
      </c>
      <c r="H112" s="121"/>
      <c r="I112" s="121"/>
      <c r="J112" s="121"/>
      <c r="K112" s="2"/>
      <c r="L112" s="3"/>
      <c r="M112" s="122"/>
      <c r="N112" s="122"/>
      <c r="O112" s="122"/>
      <c r="P112" s="122"/>
      <c r="Q112" s="2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:26" ht="13.2" x14ac:dyDescent="0.25">
      <c r="A113" s="58">
        <v>1993</v>
      </c>
      <c r="B113" s="59"/>
      <c r="C113" s="60"/>
      <c r="D113" s="60"/>
      <c r="E113" s="60"/>
      <c r="F113" s="60"/>
      <c r="G113" s="58"/>
      <c r="H113" s="121"/>
      <c r="I113" s="121"/>
      <c r="J113" s="121"/>
      <c r="K113" s="2"/>
      <c r="L113" s="3"/>
      <c r="M113" s="122"/>
      <c r="N113" s="122"/>
      <c r="O113" s="122"/>
      <c r="P113" s="122"/>
      <c r="Q113" s="2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:26" ht="13.2" x14ac:dyDescent="0.25">
      <c r="A114" s="61" t="s">
        <v>137</v>
      </c>
      <c r="B114" s="62">
        <v>2</v>
      </c>
      <c r="C114" s="63">
        <f>16.4/1000</f>
        <v>1.6399999999999998E-2</v>
      </c>
      <c r="D114" s="72">
        <f ca="1">IFERROR(__xludf.DUMMYFUNCTION("$C108*IMPORTRANGE(""https://docs.google.com/spreadsheets/d/1xsp01RMmkav9iTy39Zaj_7tE9677EGlOJ14KU9TZn7I/"",""1985-2003!H2202"")"),0.0132905599999999)</f>
        <v>1.3290559999999899E-2</v>
      </c>
      <c r="E114" s="72">
        <f ca="1">IFERROR(__xludf.DUMMYFUNCTION("$C108*IMPORTRANGE(""https://docs.google.com/spreadsheets/d/1xsp01RMmkav9iTy39Zaj_7tE9677EGlOJ14KU9TZn7I/"",""1985-2003!T2202"")"),0.0106591799999999)</f>
        <v>1.06591799999999E-2</v>
      </c>
      <c r="F114" s="72">
        <f ca="1">IFERROR(__xludf.DUMMYFUNCTION("$C108*IMPORTRANGE(""https://docs.google.com/spreadsheets/d/1xsp01RMmkav9iTy39Zaj_7tE9677EGlOJ14KU9TZn7I/"",""1985-2003!AC2202"")"),2.05229599999999)</f>
        <v>2.0522959999999899</v>
      </c>
      <c r="G114" s="61" t="s">
        <v>8</v>
      </c>
      <c r="H114" s="121"/>
      <c r="I114" s="121"/>
      <c r="J114" s="121"/>
      <c r="K114" s="2"/>
      <c r="L114" s="3"/>
      <c r="M114" s="122"/>
      <c r="N114" s="122"/>
      <c r="O114" s="122"/>
      <c r="P114" s="122"/>
      <c r="Q114" s="2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:26" ht="13.2" x14ac:dyDescent="0.25">
      <c r="A115" s="73" t="s">
        <v>138</v>
      </c>
      <c r="B115" s="74">
        <v>0</v>
      </c>
      <c r="C115" s="75">
        <v>0</v>
      </c>
      <c r="D115" s="76">
        <f ca="1">IFERROR(__xludf.DUMMYFUNCTION("$C109*IMPORTRANGE(""https://docs.google.com/spreadsheets/d/1xsp01RMmkav9iTy39Zaj_7tE9677EGlOJ14KU9TZn7I/"",""1985-2003!H2223"")"),0)</f>
        <v>0</v>
      </c>
      <c r="E115" s="76">
        <f ca="1">IFERROR(__xludf.DUMMYFUNCTION("$C109*IMPORTRANGE(""https://docs.google.com/spreadsheets/d/1xsp01RMmkav9iTy39Zaj_7tE9677EGlOJ14KU9TZn7I/"",""1985-2003!T2223"")"),0)</f>
        <v>0</v>
      </c>
      <c r="F115" s="76">
        <f ca="1">IFERROR(__xludf.DUMMYFUNCTION("$C109*IMPORTRANGE(""https://docs.google.com/spreadsheets/d/1xsp01RMmkav9iTy39Zaj_7tE9677EGlOJ14KU9TZn7I/"",""1985-2003!AC2223"")"),0)</f>
        <v>0</v>
      </c>
      <c r="G115" s="73" t="s">
        <v>8</v>
      </c>
      <c r="H115" s="121"/>
      <c r="I115" s="121"/>
      <c r="J115" s="121"/>
      <c r="K115" s="2"/>
      <c r="L115" s="3"/>
      <c r="M115" s="122"/>
      <c r="N115" s="122"/>
      <c r="O115" s="122"/>
      <c r="P115" s="122"/>
      <c r="Q115" s="2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:26" ht="13.2" x14ac:dyDescent="0.25">
      <c r="A116" s="61" t="s">
        <v>139</v>
      </c>
      <c r="B116" s="62">
        <v>2</v>
      </c>
      <c r="C116" s="63">
        <f>4.5/1000</f>
        <v>4.4999999999999997E-3</v>
      </c>
      <c r="D116" s="72">
        <f ca="1">IFERROR(__xludf.DUMMYFUNCTION("$C110*IMPORTRANGE(""https://docs.google.com/spreadsheets/d/1xsp01RMmkav9iTy39Zaj_7tE9677EGlOJ14KU9TZn7I/"",""1985-2003!H2247"")"),0.00373904999999999)</f>
        <v>3.7390499999999899E-3</v>
      </c>
      <c r="E116" s="72">
        <f ca="1">IFERROR(__xludf.DUMMYFUNCTION("$C110*IMPORTRANGE(""https://docs.google.com/spreadsheets/d/1xsp01RMmkav9iTy39Zaj_7tE9677EGlOJ14KU9TZn7I/"",""1985-2003!T2247"")"),0.00310229999999999)</f>
        <v>3.1022999999999901E-3</v>
      </c>
      <c r="F116" s="72">
        <f ca="1">IFERROR(__xludf.DUMMYFUNCTION("$C110*IMPORTRANGE(""https://docs.google.com/spreadsheets/d/1xsp01RMmkav9iTy39Zaj_7tE9677EGlOJ14KU9TZn7I/"",""1985-2003!AC2247"")"),0.526949999999999)</f>
        <v>0.52694999999999903</v>
      </c>
      <c r="G116" s="61" t="s">
        <v>8</v>
      </c>
      <c r="H116" s="121"/>
      <c r="I116" s="121"/>
      <c r="J116" s="121"/>
      <c r="K116" s="2"/>
      <c r="L116" s="3"/>
      <c r="M116" s="122"/>
      <c r="N116" s="122"/>
      <c r="O116" s="122"/>
      <c r="P116" s="122"/>
      <c r="Q116" s="2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:26" ht="13.2" x14ac:dyDescent="0.25">
      <c r="A117" s="73" t="s">
        <v>140</v>
      </c>
      <c r="B117" s="74">
        <v>0</v>
      </c>
      <c r="C117" s="75">
        <v>0</v>
      </c>
      <c r="D117" s="76">
        <f ca="1">IFERROR(__xludf.DUMMYFUNCTION("$C111*IMPORTRANGE(""https://docs.google.com/spreadsheets/d/1xsp01RMmkav9iTy39Zaj_7tE9677EGlOJ14KU9TZn7I/"",""1985-2003!H2270"")"),0)</f>
        <v>0</v>
      </c>
      <c r="E117" s="76">
        <f ca="1">IFERROR(__xludf.DUMMYFUNCTION("$C111*IMPORTRANGE(""https://docs.google.com/spreadsheets/d/1xsp01RMmkav9iTy39Zaj_7tE9677EGlOJ14KU9TZn7I/"",""1985-2003!T2270"")"),0)</f>
        <v>0</v>
      </c>
      <c r="F117" s="76">
        <f ca="1">IFERROR(__xludf.DUMMYFUNCTION("$C111*IMPORTRANGE(""https://docs.google.com/spreadsheets/d/1xsp01RMmkav9iTy39Zaj_7tE9677EGlOJ14KU9TZn7I/"",""1985-2003!AC2270"")"),0)</f>
        <v>0</v>
      </c>
      <c r="G117" s="73" t="s">
        <v>8</v>
      </c>
      <c r="H117" s="121"/>
      <c r="I117" s="121"/>
      <c r="J117" s="121"/>
      <c r="K117" s="2"/>
      <c r="L117" s="3"/>
      <c r="M117" s="122"/>
      <c r="N117" s="122"/>
      <c r="O117" s="122"/>
      <c r="P117" s="122"/>
      <c r="Q117" s="2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:26" ht="13.2" x14ac:dyDescent="0.25">
      <c r="A118" s="61" t="s">
        <v>141</v>
      </c>
      <c r="B118" s="62">
        <v>0</v>
      </c>
      <c r="C118" s="63">
        <v>0</v>
      </c>
      <c r="D118" s="72">
        <f ca="1">IFERROR(__xludf.DUMMYFUNCTION("$C112*IMPORTRANGE(""https://docs.google.com/spreadsheets/d/1xsp01RMmkav9iTy39Zaj_7tE9677EGlOJ14KU9TZn7I/"",""1985-2003!H2292"")"),0)</f>
        <v>0</v>
      </c>
      <c r="E118" s="72">
        <f ca="1">IFERROR(__xludf.DUMMYFUNCTION("$C112*IMPORTRANGE(""https://docs.google.com/spreadsheets/d/1xsp01RMmkav9iTy39Zaj_7tE9677EGlOJ14KU9TZn7I/"",""1985-2003!T2292"")"),0)</f>
        <v>0</v>
      </c>
      <c r="F118" s="72">
        <f ca="1">IFERROR(__xludf.DUMMYFUNCTION("$C112*IMPORTRANGE(""https://docs.google.com/spreadsheets/d/1xsp01RMmkav9iTy39Zaj_7tE9677EGlOJ14KU9TZn7I/"",""1985-2003!AC2292"")"),0)</f>
        <v>0</v>
      </c>
      <c r="G118" s="61" t="s">
        <v>8</v>
      </c>
      <c r="H118" s="121"/>
      <c r="I118" s="121"/>
      <c r="J118" s="121"/>
      <c r="K118" s="2"/>
      <c r="L118" s="3"/>
      <c r="M118" s="122"/>
      <c r="N118" s="122"/>
      <c r="O118" s="122"/>
      <c r="P118" s="122"/>
      <c r="Q118" s="2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:26" ht="13.2" x14ac:dyDescent="0.25">
      <c r="A119" s="73" t="s">
        <v>142</v>
      </c>
      <c r="B119" s="74">
        <v>2</v>
      </c>
      <c r="C119" s="75">
        <f>437.5/1000</f>
        <v>0.4375</v>
      </c>
      <c r="D119" s="76">
        <f ca="1">IFERROR(__xludf.DUMMYFUNCTION("$C113*IMPORTRANGE(""https://docs.google.com/spreadsheets/d/1xsp01RMmkav9iTy39Zaj_7tE9677EGlOJ14KU9TZn7I/"",""1985-2003!H2315"")"),0.361375)</f>
        <v>0.361375</v>
      </c>
      <c r="E119" s="76">
        <f ca="1">IFERROR(__xludf.DUMMYFUNCTION("$C113*IMPORTRANGE(""https://docs.google.com/spreadsheets/d/1xsp01RMmkav9iTy39Zaj_7tE9677EGlOJ14KU9TZn7I/"",""1985-2003!T2315"")"),0.289471875)</f>
        <v>0.28947187499999999</v>
      </c>
      <c r="F119" s="76">
        <f ca="1">IFERROR(__xludf.DUMMYFUNCTION("$C113*IMPORTRANGE(""https://docs.google.com/spreadsheets/d/1xsp01RMmkav9iTy39Zaj_7tE9677EGlOJ14KU9TZn7I/"",""1985-2003!AC2315"")"),46.8234375)</f>
        <v>46.823437499999997</v>
      </c>
      <c r="G119" s="73" t="s">
        <v>8</v>
      </c>
      <c r="H119" s="121"/>
      <c r="I119" s="121"/>
      <c r="J119" s="121"/>
      <c r="K119" s="2"/>
      <c r="L119" s="3"/>
      <c r="M119" s="122"/>
      <c r="N119" s="122"/>
      <c r="O119" s="122"/>
      <c r="P119" s="122"/>
      <c r="Q119" s="2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:26" ht="13.2" x14ac:dyDescent="0.25">
      <c r="A120" s="61" t="s">
        <v>143</v>
      </c>
      <c r="B120" s="62">
        <v>2</v>
      </c>
      <c r="C120" s="63">
        <f>47.2/1000</f>
        <v>4.7200000000000006E-2</v>
      </c>
      <c r="D120" s="72">
        <f ca="1">IFERROR(__xludf.DUMMYFUNCTION("$C114*IMPORTRANGE(""https://docs.google.com/spreadsheets/d/1xsp01RMmkav9iTy39Zaj_7tE9677EGlOJ14KU9TZn7I/"",""1985-2003!H2338"")"),0.0409932)</f>
        <v>4.09932E-2</v>
      </c>
      <c r="E120" s="72">
        <f ca="1">IFERROR(__xludf.DUMMYFUNCTION("$C114*IMPORTRANGE(""https://docs.google.com/spreadsheets/d/1xsp01RMmkav9iTy39Zaj_7tE9677EGlOJ14KU9TZn7I/"",""1985-2003!T2338"")"),0.03151308)</f>
        <v>3.1513079999999999E-2</v>
      </c>
      <c r="F120" s="72">
        <f ca="1">IFERROR(__xludf.DUMMYFUNCTION("$C114*IMPORTRANGE(""https://docs.google.com/spreadsheets/d/1xsp01RMmkav9iTy39Zaj_7tE9677EGlOJ14KU9TZn7I/"",""1985-2003!AC2338"")"),5.084384)</f>
        <v>5.084384</v>
      </c>
      <c r="G120" s="61" t="s">
        <v>8</v>
      </c>
      <c r="H120" s="121"/>
      <c r="I120" s="121"/>
      <c r="J120" s="121"/>
      <c r="K120" s="2"/>
      <c r="L120" s="3"/>
      <c r="M120" s="122"/>
      <c r="N120" s="122"/>
      <c r="O120" s="122"/>
      <c r="P120" s="122"/>
      <c r="Q120" s="2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:26" ht="13.2" x14ac:dyDescent="0.25">
      <c r="A121" s="73" t="s">
        <v>144</v>
      </c>
      <c r="B121" s="74">
        <v>0</v>
      </c>
      <c r="C121" s="75">
        <v>0</v>
      </c>
      <c r="D121" s="76">
        <f ca="1">IFERROR(__xludf.DUMMYFUNCTION("$C115*IMPORTRANGE(""https://docs.google.com/spreadsheets/d/1xsp01RMmkav9iTy39Zaj_7tE9677EGlOJ14KU9TZn7I/"",""1985-2003!H2361"")"),0)</f>
        <v>0</v>
      </c>
      <c r="E121" s="76">
        <f ca="1">IFERROR(__xludf.DUMMYFUNCTION("$C115*IMPORTRANGE(""https://docs.google.com/spreadsheets/d/1xsp01RMmkav9iTy39Zaj_7tE9677EGlOJ14KU9TZn7I/"",""1985-2003!T2361"")"),0)</f>
        <v>0</v>
      </c>
      <c r="F121" s="76">
        <f ca="1">IFERROR(__xludf.DUMMYFUNCTION("$C115*IMPORTRANGE(""https://docs.google.com/spreadsheets/d/1xsp01RMmkav9iTy39Zaj_7tE9677EGlOJ14KU9TZn7I/"",""1985-2003!AC2361"")"),0)</f>
        <v>0</v>
      </c>
      <c r="G121" s="73" t="s">
        <v>8</v>
      </c>
      <c r="H121" s="121"/>
      <c r="I121" s="121"/>
      <c r="J121" s="121"/>
      <c r="K121" s="2"/>
      <c r="L121" s="3"/>
      <c r="M121" s="122"/>
      <c r="N121" s="122"/>
      <c r="O121" s="122"/>
      <c r="P121" s="122"/>
      <c r="Q121" s="2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:26" ht="13.2" x14ac:dyDescent="0.25">
      <c r="A122" s="61" t="s">
        <v>145</v>
      </c>
      <c r="B122" s="62">
        <v>0</v>
      </c>
      <c r="C122" s="63">
        <v>0</v>
      </c>
      <c r="D122" s="72">
        <f ca="1">IFERROR(__xludf.DUMMYFUNCTION("$C116*IMPORTRANGE(""https://docs.google.com/spreadsheets/d/1xsp01RMmkav9iTy39Zaj_7tE9677EGlOJ14KU9TZn7I/"",""1985-2003!H2384"")"),0)</f>
        <v>0</v>
      </c>
      <c r="E122" s="72">
        <f ca="1">IFERROR(__xludf.DUMMYFUNCTION("$C116*IMPORTRANGE(""https://docs.google.com/spreadsheets/d/1xsp01RMmkav9iTy39Zaj_7tE9677EGlOJ14KU9TZn7I/"",""1985-2003!T2384"")"),0)</f>
        <v>0</v>
      </c>
      <c r="F122" s="72">
        <f ca="1">IFERROR(__xludf.DUMMYFUNCTION("$C116*IMPORTRANGE(""https://docs.google.com/spreadsheets/d/1xsp01RMmkav9iTy39Zaj_7tE9677EGlOJ14KU9TZn7I/"",""1985-2003!AC2384"")"),0)</f>
        <v>0</v>
      </c>
      <c r="G122" s="61" t="s">
        <v>8</v>
      </c>
      <c r="H122" s="121"/>
      <c r="I122" s="121"/>
      <c r="J122" s="121"/>
      <c r="K122" s="2"/>
      <c r="L122" s="3"/>
      <c r="M122" s="122"/>
      <c r="N122" s="122"/>
      <c r="O122" s="122"/>
      <c r="P122" s="122"/>
      <c r="Q122" s="2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:26" ht="13.2" x14ac:dyDescent="0.25">
      <c r="A123" s="73" t="s">
        <v>146</v>
      </c>
      <c r="B123" s="74">
        <v>2</v>
      </c>
      <c r="C123" s="75">
        <f>404.4/1000</f>
        <v>0.40439999999999998</v>
      </c>
      <c r="D123" s="76">
        <f ca="1">IFERROR(__xludf.DUMMYFUNCTION("$C117*IMPORTRANGE(""https://docs.google.com/spreadsheets/d/1xsp01RMmkav9iTy39Zaj_7tE9677EGlOJ14KU9TZn7I/"",""1985-2003!H2406"")"),0.340100399999999)</f>
        <v>0.34010039999999903</v>
      </c>
      <c r="E123" s="76">
        <f ca="1">IFERROR(__xludf.DUMMYFUNCTION("$C117*IMPORTRANGE(""https://docs.google.com/spreadsheets/d/1xsp01RMmkav9iTy39Zaj_7tE9677EGlOJ14KU9TZn7I/"",""1985-2003!T2406"")"),0.26965392)</f>
        <v>0.26965391999999999</v>
      </c>
      <c r="F123" s="76">
        <f ca="1">IFERROR(__xludf.DUMMYFUNCTION("$C117*IMPORTRANGE(""https://docs.google.com/spreadsheets/d/1xsp01RMmkav9iTy39Zaj_7tE9677EGlOJ14KU9TZn7I/"",""1985-2003!AC2406"")"),43.33146)</f>
        <v>43.33146</v>
      </c>
      <c r="G123" s="73" t="s">
        <v>8</v>
      </c>
      <c r="H123" s="121"/>
      <c r="I123" s="121"/>
      <c r="J123" s="121"/>
      <c r="K123" s="2"/>
      <c r="L123" s="3"/>
      <c r="M123" s="122"/>
      <c r="N123" s="122"/>
      <c r="O123" s="122"/>
      <c r="P123" s="122"/>
      <c r="Q123" s="2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:26" ht="13.2" x14ac:dyDescent="0.25">
      <c r="A124" s="61" t="s">
        <v>147</v>
      </c>
      <c r="B124" s="62">
        <v>0</v>
      </c>
      <c r="C124" s="63">
        <v>0</v>
      </c>
      <c r="D124" s="72">
        <f ca="1">IFERROR(__xludf.DUMMYFUNCTION("$C118*IMPORTRANGE(""https://docs.google.com/spreadsheets/d/1xsp01RMmkav9iTy39Zaj_7tE9677EGlOJ14KU9TZn7I/"",""1985-2003!H2429"")"),0)</f>
        <v>0</v>
      </c>
      <c r="E124" s="72">
        <f ca="1">IFERROR(__xludf.DUMMYFUNCTION("$C118*IMPORTRANGE(""https://docs.google.com/spreadsheets/d/1xsp01RMmkav9iTy39Zaj_7tE9677EGlOJ14KU9TZn7I/"",""1985-2003!T2429"")"),0)</f>
        <v>0</v>
      </c>
      <c r="F124" s="72">
        <f ca="1">IFERROR(__xludf.DUMMYFUNCTION("$C118*IMPORTRANGE(""https://docs.google.com/spreadsheets/d/1xsp01RMmkav9iTy39Zaj_7tE9677EGlOJ14KU9TZn7I/"",""1985-2003!AC2429"")"),0)</f>
        <v>0</v>
      </c>
      <c r="G124" s="61" t="s">
        <v>8</v>
      </c>
      <c r="H124" s="121"/>
      <c r="I124" s="121"/>
      <c r="J124" s="121"/>
      <c r="K124" s="2"/>
      <c r="L124" s="3"/>
      <c r="M124" s="122"/>
      <c r="N124" s="122"/>
      <c r="O124" s="122"/>
      <c r="P124" s="122"/>
      <c r="Q124" s="2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:26" ht="13.2" x14ac:dyDescent="0.25">
      <c r="A125" s="77" t="s">
        <v>148</v>
      </c>
      <c r="B125" s="78">
        <v>0</v>
      </c>
      <c r="C125" s="79">
        <v>0</v>
      </c>
      <c r="D125" s="80">
        <f ca="1">IFERROR(__xludf.DUMMYFUNCTION("$C119*IMPORTRANGE(""https://docs.google.com/spreadsheets/d/1xsp01RMmkav9iTy39Zaj_7tE9677EGlOJ14KU9TZn7I/"",""1985-2003!H2453"")"),0)</f>
        <v>0</v>
      </c>
      <c r="E125" s="80">
        <f ca="1">IFERROR(__xludf.DUMMYFUNCTION("$C119*IMPORTRANGE(""https://docs.google.com/spreadsheets/d/1xsp01RMmkav9iTy39Zaj_7tE9677EGlOJ14KU9TZn7I/"",""1985-2003!H2453"")"),0)</f>
        <v>0</v>
      </c>
      <c r="F125" s="80">
        <f ca="1">IFERROR(__xludf.DUMMYFUNCTION("$C119*IMPORTRANGE(""https://docs.google.com/spreadsheets/d/1xsp01RMmkav9iTy39Zaj_7tE9677EGlOJ14KU9TZn7I/"",""1985-2003!H2453"")"),0)</f>
        <v>0</v>
      </c>
      <c r="G125" s="77" t="s">
        <v>8</v>
      </c>
      <c r="H125" s="121"/>
      <c r="I125" s="121"/>
      <c r="J125" s="121"/>
      <c r="K125" s="2"/>
      <c r="L125" s="3"/>
      <c r="M125" s="122"/>
      <c r="N125" s="122"/>
      <c r="O125" s="122"/>
      <c r="P125" s="122"/>
      <c r="Q125" s="2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:26" ht="13.2" x14ac:dyDescent="0.25">
      <c r="A126" s="58">
        <v>1994</v>
      </c>
      <c r="B126" s="59"/>
      <c r="C126" s="60"/>
      <c r="D126" s="60"/>
      <c r="E126" s="60"/>
      <c r="F126" s="60"/>
      <c r="G126" s="58"/>
      <c r="H126" s="121"/>
      <c r="I126" s="121"/>
      <c r="J126" s="121"/>
      <c r="K126" s="2"/>
      <c r="L126" s="3"/>
      <c r="M126" s="122"/>
      <c r="N126" s="122"/>
      <c r="O126" s="122"/>
      <c r="P126" s="122"/>
      <c r="Q126" s="2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:26" ht="13.2" x14ac:dyDescent="0.25">
      <c r="A127" s="61" t="s">
        <v>149</v>
      </c>
      <c r="B127" s="62">
        <v>1</v>
      </c>
      <c r="C127" s="63">
        <v>0</v>
      </c>
      <c r="D127" s="72">
        <f ca="1">IFERROR(__xludf.DUMMYFUNCTION("$C121*IMPORTRANGE(""https://docs.google.com/spreadsheets/d/1xsp01RMmkav9iTy39Zaj_7tE9677EGlOJ14KU9TZn7I/"",""1985-2003!H2476"")"),0)</f>
        <v>0</v>
      </c>
      <c r="E127" s="72">
        <f ca="1">IFERROR(__xludf.DUMMYFUNCTION("$C121*IMPORTRANGE(""https://docs.google.com/spreadsheets/d/1xsp01RMmkav9iTy39Zaj_7tE9677EGlOJ14KU9TZn7I/"",""1985-2003!T2476"")"),0)</f>
        <v>0</v>
      </c>
      <c r="F127" s="72">
        <f ca="1">IFERROR(__xludf.DUMMYFUNCTION("$C121*IMPORTRANGE(""https://docs.google.com/spreadsheets/d/1xsp01RMmkav9iTy39Zaj_7tE9677EGlOJ14KU9TZn7I/"",""1985-2003!AC2476"")"),0)</f>
        <v>0</v>
      </c>
      <c r="G127" s="61" t="s">
        <v>8</v>
      </c>
      <c r="H127" s="121"/>
      <c r="I127" s="121"/>
      <c r="J127" s="121"/>
      <c r="K127" s="2"/>
      <c r="L127" s="3"/>
      <c r="M127" s="122"/>
      <c r="N127" s="122"/>
      <c r="O127" s="122"/>
      <c r="P127" s="122"/>
      <c r="Q127" s="2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:26" ht="13.2" x14ac:dyDescent="0.25">
      <c r="A128" s="73" t="s">
        <v>150</v>
      </c>
      <c r="B128" s="74">
        <v>0</v>
      </c>
      <c r="C128" s="75">
        <v>0</v>
      </c>
      <c r="D128" s="76">
        <f ca="1">IFERROR(__xludf.DUMMYFUNCTION("$C122*IMPORTRANGE(""https://docs.google.com/spreadsheets/d/1xsp01RMmkav9iTy39Zaj_7tE9677EGlOJ14KU9TZn7I/"",""1985-2003!H2497"")"),0)</f>
        <v>0</v>
      </c>
      <c r="E128" s="76">
        <f ca="1">IFERROR(__xludf.DUMMYFUNCTION("$C122*IMPORTRANGE(""https://docs.google.com/spreadsheets/d/1xsp01RMmkav9iTy39Zaj_7tE9677EGlOJ14KU9TZn7I/"",""1985-2003!T2497"")"),0)</f>
        <v>0</v>
      </c>
      <c r="F128" s="76">
        <f ca="1">IFERROR(__xludf.DUMMYFUNCTION("$C122*IMPORTRANGE(""https://docs.google.com/spreadsheets/d/1xsp01RMmkav9iTy39Zaj_7tE9677EGlOJ14KU9TZn7I/"",""1985-2003!AC2497"")"),0)</f>
        <v>0</v>
      </c>
      <c r="G128" s="73" t="s">
        <v>8</v>
      </c>
      <c r="H128" s="121"/>
      <c r="I128" s="121"/>
      <c r="J128" s="121"/>
      <c r="K128" s="2"/>
      <c r="L128" s="3"/>
      <c r="M128" s="122"/>
      <c r="N128" s="122"/>
      <c r="O128" s="122"/>
      <c r="P128" s="122"/>
      <c r="Q128" s="2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:26" ht="13.2" x14ac:dyDescent="0.25">
      <c r="A129" s="61" t="s">
        <v>151</v>
      </c>
      <c r="B129" s="62">
        <v>2</v>
      </c>
      <c r="C129" s="63">
        <f>105/1000</f>
        <v>0.105</v>
      </c>
      <c r="D129" s="72">
        <f ca="1">IFERROR(__xludf.DUMMYFUNCTION("$C123*IMPORTRANGE(""https://docs.google.com/spreadsheets/d/1xsp01RMmkav9iTy39Zaj_7tE9677EGlOJ14KU9TZn7I/"",""1985-2003!H2521"")"),0.090846)</f>
        <v>9.0845999999999996E-2</v>
      </c>
      <c r="E129" s="72">
        <f ca="1">IFERROR(__xludf.DUMMYFUNCTION("$C123*IMPORTRANGE(""https://docs.google.com/spreadsheets/d/1xsp01RMmkav9iTy39Zaj_7tE9677EGlOJ14KU9TZn7I/"",""1985-2003!T2521"")"),0.070371)</f>
        <v>7.0371000000000003E-2</v>
      </c>
      <c r="F129" s="72">
        <f ca="1">IFERROR(__xludf.DUMMYFUNCTION("$C123*IMPORTRANGE(""https://docs.google.com/spreadsheets/d/1xsp01RMmkav9iTy39Zaj_7tE9677EGlOJ14KU9TZn7I/"",""1985-2003!AC2521"")"),11.0544)</f>
        <v>11.054399999999999</v>
      </c>
      <c r="G129" s="61" t="s">
        <v>8</v>
      </c>
      <c r="H129" s="121"/>
      <c r="I129" s="121"/>
      <c r="J129" s="121"/>
      <c r="K129" s="2"/>
      <c r="L129" s="3"/>
      <c r="M129" s="122"/>
      <c r="N129" s="122"/>
      <c r="O129" s="122"/>
      <c r="P129" s="122"/>
      <c r="Q129" s="2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:26" ht="13.2" x14ac:dyDescent="0.25">
      <c r="A130" s="73" t="s">
        <v>152</v>
      </c>
      <c r="B130" s="74">
        <v>1</v>
      </c>
      <c r="C130" s="75">
        <f>202/1000</f>
        <v>0.20200000000000001</v>
      </c>
      <c r="D130" s="76">
        <f ca="1">IFERROR(__xludf.DUMMYFUNCTION("$C124*IMPORTRANGE(""https://docs.google.com/spreadsheets/d/1xsp01RMmkav9iTy39Zaj_7tE9677EGlOJ14KU9TZn7I/"",""1985-2003!H2543"")"),0.175538)</f>
        <v>0.175538</v>
      </c>
      <c r="E130" s="76">
        <f ca="1">IFERROR(__xludf.DUMMYFUNCTION("$C124*IMPORTRANGE(""https://docs.google.com/spreadsheets/d/1xsp01RMmkav9iTy39Zaj_7tE9677EGlOJ14KU9TZn7I/"",""1985-2003!T2543"")"),0.136754)</f>
        <v>0.13675399999999999</v>
      </c>
      <c r="F130" s="76">
        <f ca="1">IFERROR(__xludf.DUMMYFUNCTION("$C124*IMPORTRANGE(""https://docs.google.com/spreadsheets/d/1xsp01RMmkav9iTy39Zaj_7tE9677EGlOJ14KU9TZn7I/"",""1985-2003!AC2543"")"),20.88074)</f>
        <v>20.880739999999999</v>
      </c>
      <c r="G130" s="73" t="s">
        <v>8</v>
      </c>
      <c r="H130" s="121"/>
      <c r="I130" s="121"/>
      <c r="J130" s="121"/>
      <c r="K130" s="2"/>
      <c r="L130" s="3"/>
      <c r="M130" s="122"/>
      <c r="N130" s="122"/>
      <c r="O130" s="122"/>
      <c r="P130" s="122"/>
      <c r="Q130" s="2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:26" ht="13.2" x14ac:dyDescent="0.25">
      <c r="A131" s="61" t="s">
        <v>153</v>
      </c>
      <c r="B131" s="62">
        <v>0</v>
      </c>
      <c r="C131" s="63">
        <v>0</v>
      </c>
      <c r="D131" s="72">
        <f ca="1">IFERROR(__xludf.DUMMYFUNCTION("$C125*IMPORTRANGE(""https://docs.google.com/spreadsheets/d/1xsp01RMmkav9iTy39Zaj_7tE9677EGlOJ14KU9TZn7I/"",""1985-2003!H2566"")"),0)</f>
        <v>0</v>
      </c>
      <c r="E131" s="72">
        <f ca="1">IFERROR(__xludf.DUMMYFUNCTION("$C125*IMPORTRANGE(""https://docs.google.com/spreadsheets/d/1xsp01RMmkav9iTy39Zaj_7tE9677EGlOJ14KU9TZn7I/"",""1985-2003!T2566"")"),0)</f>
        <v>0</v>
      </c>
      <c r="F131" s="72">
        <f ca="1">IFERROR(__xludf.DUMMYFUNCTION("$C125*IMPORTRANGE(""https://docs.google.com/spreadsheets/d/1xsp01RMmkav9iTy39Zaj_7tE9677EGlOJ14KU9TZn7I/"",""1985-2003!AC2566"")"),0)</f>
        <v>0</v>
      </c>
      <c r="G131" s="61" t="s">
        <v>8</v>
      </c>
      <c r="H131" s="121"/>
      <c r="I131" s="121"/>
      <c r="J131" s="121"/>
      <c r="K131" s="2"/>
      <c r="L131" s="3"/>
      <c r="M131" s="122"/>
      <c r="N131" s="122"/>
      <c r="O131" s="122"/>
      <c r="P131" s="122"/>
      <c r="Q131" s="2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:26" ht="13.2" x14ac:dyDescent="0.25">
      <c r="A132" s="73" t="s">
        <v>154</v>
      </c>
      <c r="B132" s="74">
        <v>0</v>
      </c>
      <c r="C132" s="75">
        <v>0</v>
      </c>
      <c r="D132" s="76">
        <f ca="1">IFERROR(__xludf.DUMMYFUNCTION("$C126*IMPORTRANGE(""https://docs.google.com/spreadsheets/d/1xsp01RMmkav9iTy39Zaj_7tE9677EGlOJ14KU9TZn7I/"",""1985-2003!H2589"")"),0)</f>
        <v>0</v>
      </c>
      <c r="E132" s="76">
        <f ca="1">IFERROR(__xludf.DUMMYFUNCTION("$C126*IMPORTRANGE(""https://docs.google.com/spreadsheets/d/1xsp01RMmkav9iTy39Zaj_7tE9677EGlOJ14KU9TZn7I/"",""1985-2003!T2589"")"),0)</f>
        <v>0</v>
      </c>
      <c r="F132" s="76">
        <f ca="1">IFERROR(__xludf.DUMMYFUNCTION("$C126*IMPORTRANGE(""https://docs.google.com/spreadsheets/d/1xsp01RMmkav9iTy39Zaj_7tE9677EGlOJ14KU9TZn7I/"",""1985-2003!AC2589"")"),0)</f>
        <v>0</v>
      </c>
      <c r="G132" s="73" t="s">
        <v>8</v>
      </c>
      <c r="H132" s="121"/>
      <c r="I132" s="121"/>
      <c r="J132" s="121"/>
      <c r="K132" s="2"/>
      <c r="L132" s="3"/>
      <c r="M132" s="122"/>
      <c r="N132" s="122"/>
      <c r="O132" s="122"/>
      <c r="P132" s="122"/>
      <c r="Q132" s="2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:26" ht="13.2" x14ac:dyDescent="0.25">
      <c r="A133" s="61" t="s">
        <v>155</v>
      </c>
      <c r="B133" s="62">
        <v>1</v>
      </c>
      <c r="C133" s="63">
        <f>33/1000</f>
        <v>3.3000000000000002E-2</v>
      </c>
      <c r="D133" s="72">
        <f ca="1">IFERROR(__xludf.DUMMYFUNCTION("$C127*IMPORTRANGE(""https://docs.google.com/spreadsheets/d/1xsp01RMmkav9iTy39Zaj_7tE9677EGlOJ14KU9TZn7I/"",""1985-2003!H2611"")"),0.0266937)</f>
        <v>2.6693700000000001E-2</v>
      </c>
      <c r="E133" s="72">
        <f ca="1">IFERROR(__xludf.DUMMYFUNCTION("$C127*IMPORTRANGE(""https://docs.google.com/spreadsheets/d/1xsp01RMmkav9iTy39Zaj_7tE9677EGlOJ14KU9TZn7I/"",""1985-2003!T2611"")"),0.0214269)</f>
        <v>2.1426899999999999E-2</v>
      </c>
      <c r="F133" s="72">
        <f ca="1">IFERROR(__xludf.DUMMYFUNCTION("$C127*IMPORTRANGE(""https://docs.google.com/spreadsheets/d/1xsp01RMmkav9iTy39Zaj_7tE9677EGlOJ14KU9TZn7I/"",""1985-2003!AC2611"")"),3.25644)</f>
        <v>3.25644</v>
      </c>
      <c r="G133" s="61" t="s">
        <v>8</v>
      </c>
      <c r="H133" s="121"/>
      <c r="I133" s="121"/>
      <c r="J133" s="121"/>
      <c r="K133" s="2"/>
      <c r="L133" s="3"/>
      <c r="M133" s="122"/>
      <c r="N133" s="122"/>
      <c r="O133" s="122"/>
      <c r="P133" s="122"/>
      <c r="Q133" s="2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:26" ht="13.2" x14ac:dyDescent="0.25">
      <c r="A134" s="73" t="s">
        <v>156</v>
      </c>
      <c r="B134" s="74">
        <v>2</v>
      </c>
      <c r="C134" s="75">
        <f>506/1000</f>
        <v>0.50600000000000001</v>
      </c>
      <c r="D134" s="76">
        <f ca="1">IFERROR(__xludf.DUMMYFUNCTION("$C128*IMPORTRANGE(""https://docs.google.com/spreadsheets/d/1xsp01RMmkav9iTy39Zaj_7tE9677EGlOJ14KU9TZn7I/"",""1985-2003!H2635"")"),0.4081649)</f>
        <v>0.4081649</v>
      </c>
      <c r="E134" s="76">
        <f ca="1">IFERROR(__xludf.DUMMYFUNCTION("$C128*IMPORTRANGE(""https://docs.google.com/spreadsheets/d/1xsp01RMmkav9iTy39Zaj_7tE9677EGlOJ14KU9TZn7I/"",""1985-2003!T2635"")"),0.328394)</f>
        <v>0.32839400000000002</v>
      </c>
      <c r="F134" s="76">
        <f ca="1">IFERROR(__xludf.DUMMYFUNCTION("$C128*IMPORTRANGE(""https://docs.google.com/spreadsheets/d/1xsp01RMmkav9iTy39Zaj_7tE9677EGlOJ14KU9TZn7I/"",""1985-2003!AC2635"")"),50.66578)</f>
        <v>50.665779999999998</v>
      </c>
      <c r="G134" s="73" t="s">
        <v>8</v>
      </c>
      <c r="H134" s="121"/>
      <c r="I134" s="121"/>
      <c r="J134" s="121"/>
      <c r="K134" s="2"/>
      <c r="L134" s="3"/>
      <c r="M134" s="122"/>
      <c r="N134" s="122"/>
      <c r="O134" s="122"/>
      <c r="P134" s="122"/>
      <c r="Q134" s="2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:26" ht="13.2" x14ac:dyDescent="0.25">
      <c r="A135" s="61" t="s">
        <v>157</v>
      </c>
      <c r="B135" s="62">
        <v>0</v>
      </c>
      <c r="C135" s="63">
        <v>0</v>
      </c>
      <c r="D135" s="72">
        <f ca="1">IFERROR(__xludf.DUMMYFUNCTION("$C129*IMPORTRANGE(""https://docs.google.com/spreadsheets/d/1xsp01RMmkav9iTy39Zaj_7tE9677EGlOJ14KU9TZn7I/"",""1985-2003!H2658"")"),0)</f>
        <v>0</v>
      </c>
      <c r="E135" s="72">
        <f ca="1">IFERROR(__xludf.DUMMYFUNCTION("$C129*IMPORTRANGE(""https://docs.google.com/spreadsheets/d/1xsp01RMmkav9iTy39Zaj_7tE9677EGlOJ14KU9TZn7I/"",""1985-2003!T2658"")"),0)</f>
        <v>0</v>
      </c>
      <c r="F135" s="72">
        <f ca="1">IFERROR(__xludf.DUMMYFUNCTION("$C129*IMPORTRANGE(""https://docs.google.com/spreadsheets/d/1xsp01RMmkav9iTy39Zaj_7tE9677EGlOJ14KU9TZn7I/"",""1985-2003!AC2658"")"),0)</f>
        <v>0</v>
      </c>
      <c r="G135" s="61" t="s">
        <v>8</v>
      </c>
      <c r="H135" s="121"/>
      <c r="I135" s="121"/>
      <c r="J135" s="121"/>
      <c r="K135" s="2"/>
      <c r="L135" s="3"/>
      <c r="M135" s="122"/>
      <c r="N135" s="122"/>
      <c r="O135" s="122"/>
      <c r="P135" s="122"/>
      <c r="Q135" s="2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:26" ht="13.2" x14ac:dyDescent="0.25">
      <c r="A136" s="73" t="s">
        <v>158</v>
      </c>
      <c r="B136" s="74">
        <v>2</v>
      </c>
      <c r="C136" s="75">
        <v>0</v>
      </c>
      <c r="D136" s="76">
        <f ca="1">IFERROR(__xludf.DUMMYFUNCTION("$C130*IMPORTRANGE(""https://docs.google.com/spreadsheets/d/1xsp01RMmkav9iTy39Zaj_7tE9677EGlOJ14KU9TZn7I/"",""1985-2003!H2680"")"),0)</f>
        <v>0</v>
      </c>
      <c r="E136" s="76">
        <f ca="1">IFERROR(__xludf.DUMMYFUNCTION("$C130*IMPORTRANGE(""https://docs.google.com/spreadsheets/d/1xsp01RMmkav9iTy39Zaj_7tE9677EGlOJ14KU9TZn7I/"",""1985-2003!T2680"")"),0)</f>
        <v>0</v>
      </c>
      <c r="F136" s="76">
        <f ca="1">IFERROR(__xludf.DUMMYFUNCTION("$C130*IMPORTRANGE(""https://docs.google.com/spreadsheets/d/1xsp01RMmkav9iTy39Zaj_7tE9677EGlOJ14KU9TZn7I/"",""1985-2003!AC2680"")"),0)</f>
        <v>0</v>
      </c>
      <c r="G136" s="73" t="s">
        <v>8</v>
      </c>
      <c r="H136" s="121"/>
      <c r="I136" s="121"/>
      <c r="J136" s="121"/>
      <c r="K136" s="2"/>
      <c r="L136" s="3"/>
      <c r="M136" s="122"/>
      <c r="N136" s="122"/>
      <c r="O136" s="122"/>
      <c r="P136" s="122"/>
      <c r="Q136" s="2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:26" ht="13.2" x14ac:dyDescent="0.25">
      <c r="A137" s="61" t="s">
        <v>159</v>
      </c>
      <c r="B137" s="62">
        <v>0</v>
      </c>
      <c r="C137" s="63">
        <v>0</v>
      </c>
      <c r="D137" s="72">
        <f ca="1">IFERROR(__xludf.DUMMYFUNCTION("$C131*IMPORTRANGE(""https://docs.google.com/spreadsheets/d/1xsp01RMmkav9iTy39Zaj_7tE9677EGlOJ14KU9TZn7I/"",""1985-2003!H2703"")"),0)</f>
        <v>0</v>
      </c>
      <c r="E137" s="72">
        <f ca="1">IFERROR(__xludf.DUMMYFUNCTION("$C131*IMPORTRANGE(""https://docs.google.com/spreadsheets/d/1xsp01RMmkav9iTy39Zaj_7tE9677EGlOJ14KU9TZn7I/"",""1985-2003!T2703"")"),0)</f>
        <v>0</v>
      </c>
      <c r="F137" s="72">
        <f ca="1">IFERROR(__xludf.DUMMYFUNCTION("$C131*IMPORTRANGE(""https://docs.google.com/spreadsheets/d/1xsp01RMmkav9iTy39Zaj_7tE9677EGlOJ14KU9TZn7I/"",""1985-2003!AC2703"")"),0)</f>
        <v>0</v>
      </c>
      <c r="G137" s="61" t="s">
        <v>8</v>
      </c>
      <c r="H137" s="121"/>
      <c r="I137" s="121"/>
      <c r="J137" s="121"/>
      <c r="K137" s="2"/>
      <c r="L137" s="3"/>
      <c r="M137" s="122"/>
      <c r="N137" s="122"/>
      <c r="O137" s="122"/>
      <c r="P137" s="122"/>
      <c r="Q137" s="2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:26" ht="13.2" x14ac:dyDescent="0.25">
      <c r="A138" s="77" t="s">
        <v>160</v>
      </c>
      <c r="B138" s="78">
        <v>0</v>
      </c>
      <c r="C138" s="79">
        <v>0</v>
      </c>
      <c r="D138" s="80">
        <f ca="1">IFERROR(__xludf.DUMMYFUNCTION("$C132*IMPORTRANGE(""https://docs.google.com/spreadsheets/d/1xsp01RMmkav9iTy39Zaj_7tE9677EGlOJ14KU9TZn7I/"",""1985-2003!H2726"")"),0)</f>
        <v>0</v>
      </c>
      <c r="E138" s="80">
        <f ca="1">IFERROR(__xludf.DUMMYFUNCTION("$C132*IMPORTRANGE(""https://docs.google.com/spreadsheets/d/1xsp01RMmkav9iTy39Zaj_7tE9677EGlOJ14KU9TZn7I/"",""1985-2003!T2726"")"),0)</f>
        <v>0</v>
      </c>
      <c r="F138" s="80">
        <f ca="1">IFERROR(__xludf.DUMMYFUNCTION("$C132*IMPORTRANGE(""https://docs.google.com/spreadsheets/d/1xsp01RMmkav9iTy39Zaj_7tE9677EGlOJ14KU9TZn7I/"",""1985-2003!AC2726"")"),0)</f>
        <v>0</v>
      </c>
      <c r="G138" s="77" t="s">
        <v>8</v>
      </c>
      <c r="H138" s="121"/>
      <c r="I138" s="121"/>
      <c r="J138" s="121"/>
      <c r="K138" s="2"/>
      <c r="L138" s="3"/>
      <c r="M138" s="122"/>
      <c r="N138" s="122"/>
      <c r="O138" s="122"/>
      <c r="P138" s="122"/>
      <c r="Q138" s="2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:26" ht="13.2" x14ac:dyDescent="0.25">
      <c r="A139" s="58">
        <v>1995</v>
      </c>
      <c r="B139" s="59"/>
      <c r="C139" s="60"/>
      <c r="D139" s="60"/>
      <c r="E139" s="60"/>
      <c r="F139" s="60"/>
      <c r="G139" s="58"/>
      <c r="H139" s="121"/>
      <c r="I139" s="121"/>
      <c r="J139" s="121"/>
      <c r="K139" s="2"/>
      <c r="L139" s="3"/>
      <c r="M139" s="122"/>
      <c r="N139" s="122"/>
      <c r="O139" s="122"/>
      <c r="P139" s="122"/>
      <c r="Q139" s="2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:26" ht="13.2" x14ac:dyDescent="0.25">
      <c r="A140" s="61" t="s">
        <v>161</v>
      </c>
      <c r="B140" s="62">
        <v>17</v>
      </c>
      <c r="C140" s="63">
        <f>856.2/1000</f>
        <v>0.85620000000000007</v>
      </c>
      <c r="D140" s="72">
        <f ca="1">IFERROR(__xludf.DUMMYFUNCTION("$C134*IMPORTRANGE(""https://docs.google.com/spreadsheets/d/1xsp01RMmkav9iTy39Zaj_7tE9677EGlOJ14KU9TZn7I/"",""1985-2003!H2750"")"),0.6815352)</f>
        <v>0.68153520000000001</v>
      </c>
      <c r="E140" s="72">
        <f ca="1">IFERROR(__xludf.DUMMYFUNCTION("$C134*IMPORTRANGE(""https://docs.google.com/spreadsheets/d/1xsp01RMmkav9iTy39Zaj_7tE9677EGlOJ14KU9TZn7I/"",""1985-2003!T2750"")"),0.5453994)</f>
        <v>0.54539939999999998</v>
      </c>
      <c r="F140" s="72">
        <f ca="1">IFERROR(__xludf.DUMMYFUNCTION("$C134*IMPORTRANGE(""https://docs.google.com/spreadsheets/d/1xsp01RMmkav9iTy39Zaj_7tE9677EGlOJ14KU9TZn7I/"",""1985-2003!AC2750"")"),85.328892)</f>
        <v>85.328891999999996</v>
      </c>
      <c r="G140" s="61" t="s">
        <v>8</v>
      </c>
      <c r="H140" s="121"/>
      <c r="I140" s="121"/>
      <c r="J140" s="121"/>
      <c r="K140" s="2"/>
      <c r="L140" s="3"/>
      <c r="M140" s="122"/>
      <c r="N140" s="122"/>
      <c r="O140" s="122"/>
      <c r="P140" s="122"/>
      <c r="Q140" s="2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:26" ht="13.2" x14ac:dyDescent="0.25">
      <c r="A141" s="73" t="s">
        <v>162</v>
      </c>
      <c r="B141" s="74">
        <v>1</v>
      </c>
      <c r="C141" s="75">
        <f>92/1000</f>
        <v>9.1999999999999998E-2</v>
      </c>
      <c r="D141" s="76">
        <f ca="1">IFERROR(__xludf.DUMMYFUNCTION("$C135*IMPORTRANGE(""https://docs.google.com/spreadsheets/d/1xsp01RMmkav9iTy39Zaj_7tE9677EGlOJ14KU9TZn7I/"",""1985-2003!H2771"")"),0.0723902)</f>
        <v>7.2390200000000002E-2</v>
      </c>
      <c r="E141" s="76">
        <f ca="1">IFERROR(__xludf.DUMMYFUNCTION("$C135*IMPORTRANGE(""https://docs.google.com/spreadsheets/d/1xsp01RMmkav9iTy39Zaj_7tE9677EGlOJ14KU9TZn7I/"",""1985-2003!T2771"")"),0.058351)</f>
        <v>5.8351E-2</v>
      </c>
      <c r="F141" s="76">
        <f ca="1">IFERROR(__xludf.DUMMYFUNCTION("$C135*IMPORTRANGE(""https://docs.google.com/spreadsheets/d/1xsp01RMmkav9iTy39Zaj_7tE9677EGlOJ14KU9TZn7I/"",""1985-2003!AC2771"")"),9.05556)</f>
        <v>9.0555599999999998</v>
      </c>
      <c r="G141" s="73" t="s">
        <v>8</v>
      </c>
      <c r="H141" s="121"/>
      <c r="I141" s="121"/>
      <c r="J141" s="121"/>
      <c r="K141" s="2"/>
      <c r="L141" s="3"/>
      <c r="M141" s="122"/>
      <c r="N141" s="122"/>
      <c r="O141" s="122"/>
      <c r="P141" s="122"/>
      <c r="Q141" s="2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:26" ht="13.2" x14ac:dyDescent="0.25">
      <c r="A142" s="61" t="s">
        <v>163</v>
      </c>
      <c r="B142" s="62">
        <v>0</v>
      </c>
      <c r="C142" s="63">
        <v>0</v>
      </c>
      <c r="D142" s="72">
        <f ca="1">IFERROR(__xludf.DUMMYFUNCTION("$C136*IMPORTRANGE(""https://docs.google.com/spreadsheets/d/1xsp01RMmkav9iTy39Zaj_7tE9677EGlOJ14KU9TZn7I/"",""1985-2003!H2795"")"),0)</f>
        <v>0</v>
      </c>
      <c r="E142" s="72">
        <f ca="1">IFERROR(__xludf.DUMMYFUNCTION("$C136*IMPORTRANGE(""https://docs.google.com/spreadsheets/d/1xsp01RMmkav9iTy39Zaj_7tE9677EGlOJ14KU9TZn7I/"",""1985-2003!T2795"")"),0)</f>
        <v>0</v>
      </c>
      <c r="F142" s="72">
        <f ca="1">IFERROR(__xludf.DUMMYFUNCTION("$C136*IMPORTRANGE(""https://docs.google.com/spreadsheets/d/1xsp01RMmkav9iTy39Zaj_7tE9677EGlOJ14KU9TZn7I/"",""1985-2003!AC2795"")"),0)</f>
        <v>0</v>
      </c>
      <c r="G142" s="61" t="s">
        <v>8</v>
      </c>
      <c r="H142" s="121"/>
      <c r="I142" s="121"/>
      <c r="J142" s="121"/>
      <c r="K142" s="2"/>
      <c r="L142" s="3"/>
      <c r="M142" s="122"/>
      <c r="N142" s="122"/>
      <c r="O142" s="122"/>
      <c r="P142" s="122"/>
      <c r="Q142" s="2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:26" ht="13.2" x14ac:dyDescent="0.25">
      <c r="A143" s="73" t="s">
        <v>164</v>
      </c>
      <c r="B143" s="74">
        <v>2</v>
      </c>
      <c r="C143" s="75">
        <f>7.1/1000</f>
        <v>7.0999999999999995E-3</v>
      </c>
      <c r="D143" s="76">
        <f ca="1">IFERROR(__xludf.DUMMYFUNCTION("$C137*IMPORTRANGE(""https://docs.google.com/spreadsheets/d/1xsp01RMmkav9iTy39Zaj_7tE9677EGlOJ14KU9TZn7I/"",""1985-2003!H2816"")"),0.00524547999999999)</f>
        <v>5.2454799999999899E-3</v>
      </c>
      <c r="E143" s="76">
        <f ca="1">IFERROR(__xludf.DUMMYFUNCTION("$C137*IMPORTRANGE(""https://docs.google.com/spreadsheets/d/1xsp01RMmkav9iTy39Zaj_7tE9677EGlOJ14KU9TZn7I/"",""1985-2003!T2816"")"),0.00441407)</f>
        <v>4.41407E-3</v>
      </c>
      <c r="F143" s="76">
        <f ca="1">IFERROR(__xludf.DUMMYFUNCTION("$C137*IMPORTRANGE(""https://docs.google.com/spreadsheets/d/1xsp01RMmkav9iTy39Zaj_7tE9677EGlOJ14KU9TZn7I/"",""1985-2003!AC2816"")"),0.5938795)</f>
        <v>0.5938795</v>
      </c>
      <c r="G143" s="73" t="s">
        <v>8</v>
      </c>
      <c r="H143" s="121"/>
      <c r="I143" s="121"/>
      <c r="J143" s="121"/>
      <c r="K143" s="2"/>
      <c r="L143" s="3"/>
      <c r="M143" s="122"/>
      <c r="N143" s="122"/>
      <c r="O143" s="122"/>
      <c r="P143" s="122"/>
      <c r="Q143" s="2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:26" ht="13.2" x14ac:dyDescent="0.25">
      <c r="A144" s="61" t="s">
        <v>165</v>
      </c>
      <c r="B144" s="62">
        <v>1</v>
      </c>
      <c r="C144" s="63">
        <v>0</v>
      </c>
      <c r="D144" s="72">
        <f ca="1">IFERROR(__xludf.DUMMYFUNCTION("$C138*IMPORTRANGE(""https://docs.google.com/spreadsheets/d/1xsp01RMmkav9iTy39Zaj_7tE9677EGlOJ14KU9TZn7I/"",""1985-2003!H2840"")"),0)</f>
        <v>0</v>
      </c>
      <c r="E144" s="72">
        <f ca="1">IFERROR(__xludf.DUMMYFUNCTION("$C138*IMPORTRANGE(""https://docs.google.com/spreadsheets/d/1xsp01RMmkav9iTy39Zaj_7tE9677EGlOJ14KU9TZn7I/"",""1985-2003!T2840"")"),0)</f>
        <v>0</v>
      </c>
      <c r="F144" s="72">
        <f ca="1">IFERROR(__xludf.DUMMYFUNCTION("$C138*IMPORTRANGE(""https://docs.google.com/spreadsheets/d/1xsp01RMmkav9iTy39Zaj_7tE9677EGlOJ14KU9TZn7I/"",""1985-2003!AC2840"")"),0)</f>
        <v>0</v>
      </c>
      <c r="G144" s="61" t="s">
        <v>8</v>
      </c>
      <c r="H144" s="121"/>
      <c r="I144" s="121"/>
      <c r="J144" s="121"/>
      <c r="K144" s="2"/>
      <c r="L144" s="3"/>
      <c r="M144" s="122"/>
      <c r="N144" s="122"/>
      <c r="O144" s="122"/>
      <c r="P144" s="122"/>
      <c r="Q144" s="2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:26" ht="13.2" x14ac:dyDescent="0.25">
      <c r="A145" s="73" t="s">
        <v>166</v>
      </c>
      <c r="B145" s="74">
        <v>1</v>
      </c>
      <c r="C145" s="75">
        <v>0</v>
      </c>
      <c r="D145" s="76">
        <f ca="1">IFERROR(__xludf.DUMMYFUNCTION("$C139*IMPORTRANGE(""https://docs.google.com/spreadsheets/d/1xsp01RMmkav9iTy39Zaj_7tE9677EGlOJ14KU9TZn7I/"",""1985-2003!H2863"")"),0)</f>
        <v>0</v>
      </c>
      <c r="E145" s="76">
        <f ca="1">IFERROR(__xludf.DUMMYFUNCTION("$C139*IMPORTRANGE(""https://docs.google.com/spreadsheets/d/1xsp01RMmkav9iTy39Zaj_7tE9677EGlOJ14KU9TZn7I/"",""1985-2003!T2863"")"),0)</f>
        <v>0</v>
      </c>
      <c r="F145" s="76">
        <f ca="1">IFERROR(__xludf.DUMMYFUNCTION("$C139*IMPORTRANGE(""https://docs.google.com/spreadsheets/d/1xsp01RMmkav9iTy39Zaj_7tE9677EGlOJ14KU9TZn7I/"",""1985-2003!AC2863"")"),0)</f>
        <v>0</v>
      </c>
      <c r="G145" s="73" t="s">
        <v>8</v>
      </c>
      <c r="H145" s="121"/>
      <c r="I145" s="121"/>
      <c r="J145" s="121"/>
      <c r="K145" s="2"/>
      <c r="L145" s="3"/>
      <c r="M145" s="122"/>
      <c r="N145" s="122"/>
      <c r="O145" s="122"/>
      <c r="P145" s="122"/>
      <c r="Q145" s="2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:26" ht="13.2" x14ac:dyDescent="0.25">
      <c r="A146" s="61" t="s">
        <v>167</v>
      </c>
      <c r="B146" s="62">
        <v>3</v>
      </c>
      <c r="C146" s="63">
        <f>399/1000</f>
        <v>0.39900000000000002</v>
      </c>
      <c r="D146" s="72">
        <f ca="1">IFERROR(__xludf.DUMMYFUNCTION("$C140*IMPORTRANGE(""https://docs.google.com/spreadsheets/d/1xsp01RMmkav9iTy39Zaj_7tE9677EGlOJ14KU9TZn7I/"",""1985-2003!H2885"")"),0.2924271)</f>
        <v>0.2924271</v>
      </c>
      <c r="E146" s="72">
        <f ca="1">IFERROR(__xludf.DUMMYFUNCTION("$C140*IMPORTRANGE(""https://docs.google.com/spreadsheets/d/1xsp01RMmkav9iTy39Zaj_7tE9677EGlOJ14KU9TZn7I/"",""1985-2003!T2885"")"),0.2500533)</f>
        <v>0.25005329999999998</v>
      </c>
      <c r="F146" s="72">
        <f ca="1">IFERROR(__xludf.DUMMYFUNCTION("$C140*IMPORTRANGE(""https://docs.google.com/spreadsheets/d/1xsp01RMmkav9iTy39Zaj_7tE9677EGlOJ14KU9TZn7I/"",""1985-2003!AC2885"")"),34.98033)</f>
        <v>34.980330000000002</v>
      </c>
      <c r="G146" s="61" t="s">
        <v>8</v>
      </c>
      <c r="H146" s="121"/>
      <c r="I146" s="121"/>
      <c r="J146" s="121"/>
      <c r="K146" s="2"/>
      <c r="L146" s="3"/>
      <c r="M146" s="122"/>
      <c r="N146" s="122"/>
      <c r="O146" s="122"/>
      <c r="P146" s="122"/>
      <c r="Q146" s="2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:26" ht="13.2" x14ac:dyDescent="0.25">
      <c r="A147" s="73" t="s">
        <v>168</v>
      </c>
      <c r="B147" s="74">
        <v>1</v>
      </c>
      <c r="C147" s="75">
        <v>0</v>
      </c>
      <c r="D147" s="76">
        <f ca="1">IFERROR(__xludf.DUMMYFUNCTION("$C141*IMPORTRANGE(""https://docs.google.com/spreadsheets/d/1xsp01RMmkav9iTy39Zaj_7tE9677EGlOJ14KU9TZn7I/"",""1985-2003!H2909"")"),0)</f>
        <v>0</v>
      </c>
      <c r="E147" s="76">
        <f ca="1">IFERROR(__xludf.DUMMYFUNCTION("$C141*IMPORTRANGE(""https://docs.google.com/spreadsheets/d/1xsp01RMmkav9iTy39Zaj_7tE9677EGlOJ14KU9TZn7I/"",""1985-2003!T2909"")"),0)</f>
        <v>0</v>
      </c>
      <c r="F147" s="76">
        <f ca="1">IFERROR(__xludf.DUMMYFUNCTION("$C141*IMPORTRANGE(""https://docs.google.com/spreadsheets/d/1xsp01RMmkav9iTy39Zaj_7tE9677EGlOJ14KU9TZn7I/"",""1985-2003!AC2909"")"),0)</f>
        <v>0</v>
      </c>
      <c r="G147" s="73" t="s">
        <v>8</v>
      </c>
      <c r="H147" s="121"/>
      <c r="I147" s="121"/>
      <c r="J147" s="121"/>
      <c r="K147" s="2"/>
      <c r="L147" s="3"/>
      <c r="M147" s="122"/>
      <c r="N147" s="122"/>
      <c r="O147" s="122"/>
      <c r="P147" s="122"/>
      <c r="Q147" s="2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:26" ht="13.2" x14ac:dyDescent="0.25">
      <c r="A148" s="61" t="s">
        <v>169</v>
      </c>
      <c r="B148" s="62">
        <v>1</v>
      </c>
      <c r="C148" s="63">
        <f>300.1/1000</f>
        <v>0.30010000000000003</v>
      </c>
      <c r="D148" s="72">
        <f ca="1">IFERROR(__xludf.DUMMYFUNCTION("$C142*IMPORTRANGE(""https://docs.google.com/spreadsheets/d/1xsp01RMmkav9iTy39Zaj_7tE9677EGlOJ14KU9TZn7I/"",""1985-2003!H2931"")"),0.23014669)</f>
        <v>0.23014668999999999</v>
      </c>
      <c r="E148" s="72">
        <f ca="1">IFERROR(__xludf.DUMMYFUNCTION("$C142*IMPORTRANGE(""https://docs.google.com/spreadsheets/d/1xsp01RMmkav9iTy39Zaj_7tE9677EGlOJ14KU9TZn7I/"",""1985-2003!T2931"")"),0.19329441)</f>
        <v>0.19329441</v>
      </c>
      <c r="F148" s="72">
        <f ca="1">IFERROR(__xludf.DUMMYFUNCTION("$C142*IMPORTRANGE(""https://docs.google.com/spreadsheets/d/1xsp01RMmkav9iTy39Zaj_7tE9677EGlOJ14KU9TZn7I/"",""1985-2003!AC2931"")"),30.031007)</f>
        <v>30.031006999999999</v>
      </c>
      <c r="G148" s="61" t="s">
        <v>8</v>
      </c>
      <c r="H148" s="121"/>
      <c r="I148" s="121"/>
      <c r="J148" s="121"/>
      <c r="K148" s="2"/>
      <c r="L148" s="3"/>
      <c r="M148" s="122"/>
      <c r="N148" s="122"/>
      <c r="O148" s="122"/>
      <c r="P148" s="122"/>
      <c r="Q148" s="2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:26" ht="13.2" x14ac:dyDescent="0.25">
      <c r="A149" s="73" t="s">
        <v>170</v>
      </c>
      <c r="B149" s="74">
        <v>2</v>
      </c>
      <c r="C149" s="75">
        <v>0</v>
      </c>
      <c r="D149" s="76">
        <f ca="1">IFERROR(__xludf.DUMMYFUNCTION("$C143*IMPORTRANGE(""https://docs.google.com/spreadsheets/d/1xsp01RMmkav9iTy39Zaj_7tE9677EGlOJ14KU9TZn7I/"",""1985-2003!H2954"")"),0)</f>
        <v>0</v>
      </c>
      <c r="E149" s="76">
        <f ca="1">IFERROR(__xludf.DUMMYFUNCTION("$C143*IMPORTRANGE(""https://docs.google.com/spreadsheets/d/1xsp01RMmkav9iTy39Zaj_7tE9677EGlOJ14KU9TZn7I/"",""1985-2003!T2954"")"),0)</f>
        <v>0</v>
      </c>
      <c r="F149" s="76">
        <f ca="1">IFERROR(__xludf.DUMMYFUNCTION("$C143*IMPORTRANGE(""https://docs.google.com/spreadsheets/d/1xsp01RMmkav9iTy39Zaj_7tE9677EGlOJ14KU9TZn7I/"",""1985-2003!AC2954"")"),0)</f>
        <v>0</v>
      </c>
      <c r="G149" s="73" t="s">
        <v>8</v>
      </c>
      <c r="H149" s="121"/>
      <c r="I149" s="121"/>
      <c r="J149" s="121"/>
      <c r="K149" s="2"/>
      <c r="L149" s="3"/>
      <c r="M149" s="122"/>
      <c r="N149" s="122"/>
      <c r="O149" s="122"/>
      <c r="P149" s="122"/>
      <c r="Q149" s="2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:26" ht="13.2" x14ac:dyDescent="0.25">
      <c r="A150" s="61" t="s">
        <v>171</v>
      </c>
      <c r="B150" s="62">
        <v>0</v>
      </c>
      <c r="C150" s="63">
        <v>0</v>
      </c>
      <c r="D150" s="72">
        <f ca="1">IFERROR(__xludf.DUMMYFUNCTION("$C144*IMPORTRANGE(""https://docs.google.com/spreadsheets/d/1xsp01RMmkav9iTy39Zaj_7tE9677EGlOJ14KU9TZn7I/"",""1985-2003!H2977"")"),0)</f>
        <v>0</v>
      </c>
      <c r="E150" s="72">
        <f ca="1">IFERROR(__xludf.DUMMYFUNCTION("$C144*IMPORTRANGE(""https://docs.google.com/spreadsheets/d/1xsp01RMmkav9iTy39Zaj_7tE9677EGlOJ14KU9TZn7I/"",""1985-2003!T2977"")"),0)</f>
        <v>0</v>
      </c>
      <c r="F150" s="72">
        <f ca="1">IFERROR(__xludf.DUMMYFUNCTION("$C144*IMPORTRANGE(""https://docs.google.com/spreadsheets/d/1xsp01RMmkav9iTy39Zaj_7tE9677EGlOJ14KU9TZn7I/"",""1985-2003!AC2977"")"),0)</f>
        <v>0</v>
      </c>
      <c r="G150" s="61" t="s">
        <v>8</v>
      </c>
      <c r="H150" s="121"/>
      <c r="I150" s="121"/>
      <c r="J150" s="121"/>
      <c r="K150" s="2"/>
      <c r="L150" s="3"/>
      <c r="M150" s="122"/>
      <c r="N150" s="122"/>
      <c r="O150" s="122"/>
      <c r="P150" s="122"/>
      <c r="Q150" s="2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:26" ht="13.2" x14ac:dyDescent="0.25">
      <c r="A151" s="77" t="s">
        <v>52</v>
      </c>
      <c r="B151" s="78">
        <v>3</v>
      </c>
      <c r="C151" s="79">
        <v>0</v>
      </c>
      <c r="D151" s="80">
        <f ca="1">IFERROR(__xludf.DUMMYFUNCTION("$C145*IMPORTRANGE(""https://docs.google.com/spreadsheets/d/1xsp01RMmkav9iTy39Zaj_7tE9677EGlOJ14KU9TZn7I/"",""1985-2003!H2999"")"),0)</f>
        <v>0</v>
      </c>
      <c r="E151" s="80">
        <f ca="1">IFERROR(__xludf.DUMMYFUNCTION("$C145*IMPORTRANGE(""https://docs.google.com/spreadsheets/d/1xsp01RMmkav9iTy39Zaj_7tE9677EGlOJ14KU9TZn7I/"",""1985-2003!T2999"")"),0)</f>
        <v>0</v>
      </c>
      <c r="F151" s="80">
        <f ca="1">IFERROR(__xludf.DUMMYFUNCTION("$C145*IMPORTRANGE(""https://docs.google.com/spreadsheets/d/1xsp01RMmkav9iTy39Zaj_7tE9677EGlOJ14KU9TZn7I/"",""1985-2003!AC2999"")"),0)</f>
        <v>0</v>
      </c>
      <c r="G151" s="77" t="s">
        <v>8</v>
      </c>
      <c r="H151" s="121"/>
      <c r="I151" s="121"/>
      <c r="J151" s="121"/>
      <c r="K151" s="2"/>
      <c r="L151" s="3"/>
      <c r="M151" s="122"/>
      <c r="N151" s="122"/>
      <c r="O151" s="122"/>
      <c r="P151" s="122"/>
      <c r="Q151" s="2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:26" ht="13.2" x14ac:dyDescent="0.25">
      <c r="A152" s="58">
        <v>1996</v>
      </c>
      <c r="B152" s="59"/>
      <c r="C152" s="60"/>
      <c r="D152" s="60"/>
      <c r="E152" s="60"/>
      <c r="F152" s="60"/>
      <c r="G152" s="58"/>
      <c r="H152" s="121"/>
      <c r="I152" s="121"/>
      <c r="J152" s="121"/>
      <c r="K152" s="2"/>
      <c r="L152" s="3"/>
      <c r="M152" s="122"/>
      <c r="N152" s="122"/>
      <c r="O152" s="122"/>
      <c r="P152" s="122"/>
      <c r="Q152" s="2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:26" ht="13.2" x14ac:dyDescent="0.25">
      <c r="A153" s="61" t="s">
        <v>172</v>
      </c>
      <c r="B153" s="62">
        <v>0</v>
      </c>
      <c r="C153" s="63">
        <v>0</v>
      </c>
      <c r="D153" s="72">
        <f ca="1">IFERROR(__xludf.DUMMYFUNCTION("$C147*IMPORTRANGE(""https://docs.google.com/spreadsheets/d/1xsp01RMmkav9iTy39Zaj_7tE9677EGlOJ14KU9TZn7I/"",""1985-2003!H3023"")"),0)</f>
        <v>0</v>
      </c>
      <c r="E153" s="72">
        <f ca="1">IFERROR(__xludf.DUMMYFUNCTION("$C147*IMPORTRANGE(""https://docs.google.com/spreadsheets/d/1xsp01RMmkav9iTy39Zaj_7tE9677EGlOJ14KU9TZn7I/"",""1985-2003!T3023"")"),0)</f>
        <v>0</v>
      </c>
      <c r="F153" s="72">
        <f ca="1">IFERROR(__xludf.DUMMYFUNCTION("$C147*IMPORTRANGE(""https://docs.google.com/spreadsheets/d/1xsp01RMmkav9iTy39Zaj_7tE9677EGlOJ14KU9TZn7I/"",""1985-2003!AC3023"")"),0)</f>
        <v>0</v>
      </c>
      <c r="G153" s="61" t="s">
        <v>8</v>
      </c>
      <c r="H153" s="121"/>
      <c r="I153" s="121"/>
      <c r="J153" s="121"/>
      <c r="K153" s="2"/>
      <c r="L153" s="3"/>
      <c r="M153" s="122"/>
      <c r="N153" s="122"/>
      <c r="O153" s="122"/>
      <c r="P153" s="122"/>
      <c r="Q153" s="2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:26" ht="13.2" x14ac:dyDescent="0.25">
      <c r="A154" s="73" t="s">
        <v>173</v>
      </c>
      <c r="B154" s="74">
        <v>0</v>
      </c>
      <c r="C154" s="75">
        <v>0</v>
      </c>
      <c r="D154" s="76">
        <f ca="1">IFERROR(__xludf.DUMMYFUNCTION("$C148*IMPORTRANGE(""https://docs.google.com/spreadsheets/d/1xsp01RMmkav9iTy39Zaj_7tE9677EGlOJ14KU9TZn7I/"",""1985-2003!H3045"")"),0)</f>
        <v>0</v>
      </c>
      <c r="E154" s="76">
        <f ca="1">IFERROR(__xludf.DUMMYFUNCTION("$C148*IMPORTRANGE(""https://docs.google.com/spreadsheets/d/1xsp01RMmkav9iTy39Zaj_7tE9677EGlOJ14KU9TZn7I/"",""1985-2003!T3045"")"),0)</f>
        <v>0</v>
      </c>
      <c r="F154" s="76">
        <f ca="1">IFERROR(__xludf.DUMMYFUNCTION("$C148*IMPORTRANGE(""https://docs.google.com/spreadsheets/d/1xsp01RMmkav9iTy39Zaj_7tE9677EGlOJ14KU9TZn7I/"",""1985-2003!AC3045"")"),0)</f>
        <v>0</v>
      </c>
      <c r="G154" s="73" t="s">
        <v>8</v>
      </c>
      <c r="H154" s="121"/>
      <c r="I154" s="121"/>
      <c r="J154" s="121"/>
      <c r="K154" s="2"/>
      <c r="L154" s="3"/>
      <c r="M154" s="122"/>
      <c r="N154" s="122"/>
      <c r="O154" s="122"/>
      <c r="P154" s="122"/>
      <c r="Q154" s="2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:26" ht="13.2" x14ac:dyDescent="0.25">
      <c r="A155" s="61" t="s">
        <v>174</v>
      </c>
      <c r="B155" s="62">
        <v>1</v>
      </c>
      <c r="C155" s="63">
        <f>132/1000</f>
        <v>0.13200000000000001</v>
      </c>
      <c r="D155" s="72">
        <f ca="1">IFERROR(__xludf.DUMMYFUNCTION("$C149*IMPORTRANGE(""https://docs.google.com/spreadsheets/d/1xsp01RMmkav9iTy39Zaj_7tE9677EGlOJ14KU9TZn7I/"",""1985-2003!H3067"")"),0.1030788)</f>
        <v>0.1030788</v>
      </c>
      <c r="E155" s="72">
        <f ca="1">IFERROR(__xludf.DUMMYFUNCTION("$C149*IMPORTRANGE(""https://docs.google.com/spreadsheets/d/1xsp01RMmkav9iTy39Zaj_7tE9677EGlOJ14KU9TZn7I/"",""1985-2003!T3067"")"),0.0864732)</f>
        <v>8.64732E-2</v>
      </c>
      <c r="F155" s="72">
        <f ca="1">IFERROR(__xludf.DUMMYFUNCTION("$C149*IMPORTRANGE(""https://docs.google.com/spreadsheets/d/1xsp01RMmkav9iTy39Zaj_7tE9677EGlOJ14KU9TZn7I/"",""1985-2003!AC3067"")"),13.9656)</f>
        <v>13.9656</v>
      </c>
      <c r="G155" s="61" t="s">
        <v>8</v>
      </c>
      <c r="H155" s="121"/>
      <c r="I155" s="121"/>
      <c r="J155" s="121"/>
      <c r="K155" s="2"/>
      <c r="L155" s="3"/>
      <c r="M155" s="122"/>
      <c r="N155" s="122"/>
      <c r="O155" s="122"/>
      <c r="P155" s="122"/>
      <c r="Q155" s="2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:26" ht="13.2" x14ac:dyDescent="0.25">
      <c r="A156" s="73" t="s">
        <v>175</v>
      </c>
      <c r="B156" s="74">
        <v>0</v>
      </c>
      <c r="C156" s="75">
        <v>0</v>
      </c>
      <c r="D156" s="76">
        <f ca="1">IFERROR(__xludf.DUMMYFUNCTION("$C150*IMPORTRANGE(""https://docs.google.com/spreadsheets/d/1xsp01RMmkav9iTy39Zaj_7tE9677EGlOJ14KU9TZn7I/"",""1985-2003!H3090"")"),0)</f>
        <v>0</v>
      </c>
      <c r="E156" s="76">
        <f ca="1">IFERROR(__xludf.DUMMYFUNCTION("$C150*IMPORTRANGE(""https://docs.google.com/spreadsheets/d/1xsp01RMmkav9iTy39Zaj_7tE9677EGlOJ14KU9TZn7I/"",""1985-2003!T3090"")"),0)</f>
        <v>0</v>
      </c>
      <c r="F156" s="76">
        <f ca="1">IFERROR(__xludf.DUMMYFUNCTION("$C150*IMPORTRANGE(""https://docs.google.com/spreadsheets/d/1xsp01RMmkav9iTy39Zaj_7tE9677EGlOJ14KU9TZn7I/"",""1985-2003!AC3090"")"),0)</f>
        <v>0</v>
      </c>
      <c r="G156" s="73" t="s">
        <v>8</v>
      </c>
      <c r="H156" s="121"/>
      <c r="I156" s="121"/>
      <c r="J156" s="121"/>
      <c r="K156" s="2"/>
      <c r="L156" s="3"/>
      <c r="M156" s="122"/>
      <c r="N156" s="122"/>
      <c r="O156" s="122"/>
      <c r="P156" s="122"/>
      <c r="Q156" s="2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:26" ht="13.2" x14ac:dyDescent="0.25">
      <c r="A157" s="61" t="s">
        <v>176</v>
      </c>
      <c r="B157" s="62">
        <v>5</v>
      </c>
      <c r="C157" s="63">
        <f>122.6/1000</f>
        <v>0.1226</v>
      </c>
      <c r="D157" s="72">
        <f ca="1">IFERROR(__xludf.DUMMYFUNCTION("$C151*IMPORTRANGE(""https://docs.google.com/spreadsheets/d/1xsp01RMmkav9iTy39Zaj_7tE9677EGlOJ14KU9TZn7I/"",""1985-2003!H3114"")"),0.09823938)</f>
        <v>9.8239380000000001E-2</v>
      </c>
      <c r="E157" s="72">
        <f ca="1">IFERROR(__xludf.DUMMYFUNCTION("$C151*IMPORTRANGE(""https://docs.google.com/spreadsheets/d/1xsp01RMmkav9iTy39Zaj_7tE9677EGlOJ14KU9TZn7I/"",""1985-2003!T3114"")"),0.08101408)</f>
        <v>8.1014080000000002E-2</v>
      </c>
      <c r="F157" s="72">
        <f ca="1">IFERROR(__xludf.DUMMYFUNCTION("$C151*IMPORTRANGE(""https://docs.google.com/spreadsheets/d/1xsp01RMmkav9iTy39Zaj_7tE9677EGlOJ14KU9TZn7I/"",""1985-2003!AC3114"")"),13.094906)</f>
        <v>13.094906</v>
      </c>
      <c r="G157" s="61" t="s">
        <v>8</v>
      </c>
      <c r="H157" s="121"/>
      <c r="I157" s="121"/>
      <c r="J157" s="121"/>
      <c r="K157" s="2"/>
      <c r="L157" s="3"/>
      <c r="M157" s="122"/>
      <c r="N157" s="122"/>
      <c r="O157" s="122"/>
      <c r="P157" s="122"/>
      <c r="Q157" s="2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:26" ht="13.2" x14ac:dyDescent="0.25">
      <c r="A158" s="73" t="s">
        <v>177</v>
      </c>
      <c r="B158" s="74">
        <v>3</v>
      </c>
      <c r="C158" s="75">
        <f>32.2/1000</f>
        <v>3.2199999999999999E-2</v>
      </c>
      <c r="D158" s="76">
        <f ca="1">IFERROR(__xludf.DUMMYFUNCTION("$C152*IMPORTRANGE(""https://docs.google.com/spreadsheets/d/1xsp01RMmkav9iTy39Zaj_7tE9677EGlOJ14KU9TZn7I/"",""1985-2003!H3135"")"),0.0256472999999999)</f>
        <v>2.5647299999999901E-2</v>
      </c>
      <c r="E158" s="76">
        <f ca="1">IFERROR(__xludf.DUMMYFUNCTION("$C152*IMPORTRANGE(""https://docs.google.com/spreadsheets/d/1xsp01RMmkav9iTy39Zaj_7tE9677EGlOJ14KU9TZn7I/"",""1985-2003!T3135"")"),0.02089619)</f>
        <v>2.0896189999999999E-2</v>
      </c>
      <c r="F158" s="76">
        <f ca="1">IFERROR(__xludf.DUMMYFUNCTION("$C152*IMPORTRANGE(""https://docs.google.com/spreadsheets/d/1xsp01RMmkav9iTy39Zaj_7tE9677EGlOJ14KU9TZn7I/"",""1985-2003!AC3135"")"),3.511249)</f>
        <v>3.5112489999999998</v>
      </c>
      <c r="G158" s="73" t="s">
        <v>8</v>
      </c>
      <c r="H158" s="121"/>
      <c r="I158" s="121"/>
      <c r="J158" s="121"/>
      <c r="K158" s="2"/>
      <c r="L158" s="3"/>
      <c r="M158" s="122"/>
      <c r="N158" s="122"/>
      <c r="O158" s="122"/>
      <c r="P158" s="122"/>
      <c r="Q158" s="2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:26" ht="13.2" x14ac:dyDescent="0.25">
      <c r="A159" s="61" t="s">
        <v>178</v>
      </c>
      <c r="B159" s="62">
        <v>2</v>
      </c>
      <c r="C159" s="63">
        <f>28/1000</f>
        <v>2.8000000000000001E-2</v>
      </c>
      <c r="D159" s="72">
        <f ca="1">IFERROR(__xludf.DUMMYFUNCTION("$C153*IMPORTRANGE(""https://docs.google.com/spreadsheets/d/1xsp01RMmkav9iTy39Zaj_7tE9677EGlOJ14KU9TZn7I/"",""1985-2003!H3159"")"),0.0218176)</f>
        <v>2.1817599999999999E-2</v>
      </c>
      <c r="E159" s="72">
        <f ca="1">IFERROR(__xludf.DUMMYFUNCTION("$C153*IMPORTRANGE(""https://docs.google.com/spreadsheets/d/1xsp01RMmkav9iTy39Zaj_7tE9677EGlOJ14KU9TZn7I/"",""1985-2003!T3159"")"),0.0180068)</f>
        <v>1.80068E-2</v>
      </c>
      <c r="F159" s="72">
        <f ca="1">IFERROR(__xludf.DUMMYFUNCTION("$C153*IMPORTRANGE(""https://docs.google.com/spreadsheets/d/1xsp01RMmkav9iTy39Zaj_7tE9677EGlOJ14KU9TZn7I/"",""1985-2003!AC3159"")"),3.0618)</f>
        <v>3.0617999999999999</v>
      </c>
      <c r="G159" s="61" t="s">
        <v>8</v>
      </c>
      <c r="H159" s="121"/>
      <c r="I159" s="121"/>
      <c r="J159" s="121"/>
      <c r="K159" s="2"/>
      <c r="L159" s="3"/>
      <c r="M159" s="122"/>
      <c r="N159" s="122"/>
      <c r="O159" s="122"/>
      <c r="P159" s="122"/>
      <c r="Q159" s="2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:26" ht="13.2" x14ac:dyDescent="0.25">
      <c r="A160" s="73" t="s">
        <v>179</v>
      </c>
      <c r="B160" s="74">
        <v>1</v>
      </c>
      <c r="C160" s="75">
        <f>1.5/1000</f>
        <v>1.5E-3</v>
      </c>
      <c r="D160" s="76">
        <f ca="1">IFERROR(__xludf.DUMMYFUNCTION("$C154*IMPORTRANGE(""https://docs.google.com/spreadsheets/d/1xsp01RMmkav9iTy39Zaj_7tE9677EGlOJ14KU9TZn7I/"",""1985-2003!H3182"")"),0.001164)</f>
        <v>1.1640000000000001E-3</v>
      </c>
      <c r="E160" s="76">
        <f ca="1">IFERROR(__xludf.DUMMYFUNCTION("$C154*IMPORTRANGE(""https://docs.google.com/spreadsheets/d/1xsp01RMmkav9iTy39Zaj_7tE9677EGlOJ14KU9TZn7I/"",""1985-2003!T3182"")"),0.0009678)</f>
        <v>9.678E-4</v>
      </c>
      <c r="F160" s="76">
        <f ca="1">IFERROR(__xludf.DUMMYFUNCTION("$C154*IMPORTRANGE(""https://docs.google.com/spreadsheets/d/1xsp01RMmkav9iTy39Zaj_7tE9677EGlOJ14KU9TZn7I/"",""1985-2003!AC3182"")"),0.1619025)</f>
        <v>0.1619025</v>
      </c>
      <c r="G160" s="73" t="s">
        <v>8</v>
      </c>
      <c r="H160" s="121"/>
      <c r="I160" s="121"/>
      <c r="J160" s="121"/>
      <c r="K160" s="2"/>
      <c r="L160" s="3"/>
      <c r="M160" s="122"/>
      <c r="N160" s="122"/>
      <c r="O160" s="122"/>
      <c r="P160" s="122"/>
      <c r="Q160" s="2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:26" ht="13.2" x14ac:dyDescent="0.25">
      <c r="A161" s="61" t="s">
        <v>180</v>
      </c>
      <c r="B161" s="81">
        <v>3</v>
      </c>
      <c r="C161" s="63">
        <f>253.3/1000</f>
        <v>0.25330000000000003</v>
      </c>
      <c r="D161" s="72">
        <f ca="1">IFERROR(__xludf.DUMMYFUNCTION("$C155*IMPORTRANGE(""https://docs.google.com/spreadsheets/d/1xsp01RMmkav9iTy39Zaj_7tE9677EGlOJ14KU9TZn7I/"",""1985-2003!H3204"")"),0.19922045)</f>
        <v>0.19922044999999999</v>
      </c>
      <c r="E161" s="72">
        <f ca="1">IFERROR(__xludf.DUMMYFUNCTION("$C155*IMPORTRANGE(""https://docs.google.com/spreadsheets/d/1xsp01RMmkav9iTy39Zaj_7tE9677EGlOJ14KU9TZn7I/"",""1985-2003!T3204"")"),0.16239063)</f>
        <v>0.16239063000000001</v>
      </c>
      <c r="F161" s="72">
        <f ca="1">IFERROR(__xludf.DUMMYFUNCTION("$C155*IMPORTRANGE(""https://docs.google.com/spreadsheets/d/1xsp01RMmkav9iTy39Zaj_7tE9677EGlOJ14KU9TZn7I/"",""1985-2003!AC3204"")"),27.850335)</f>
        <v>27.850335000000001</v>
      </c>
      <c r="G161" s="61" t="s">
        <v>8</v>
      </c>
      <c r="H161" s="121"/>
      <c r="I161" s="121"/>
      <c r="J161" s="121"/>
      <c r="K161" s="2"/>
      <c r="L161" s="3"/>
      <c r="M161" s="122"/>
      <c r="N161" s="122"/>
      <c r="O161" s="122"/>
      <c r="P161" s="122"/>
      <c r="Q161" s="2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:26" ht="13.2" x14ac:dyDescent="0.25">
      <c r="A162" s="73" t="s">
        <v>181</v>
      </c>
      <c r="B162" s="74">
        <v>4</v>
      </c>
      <c r="C162" s="75">
        <f>172.9/1000</f>
        <v>0.1729</v>
      </c>
      <c r="D162" s="76">
        <f ca="1">IFERROR(__xludf.DUMMYFUNCTION("$C156*IMPORTRANGE(""https://docs.google.com/spreadsheets/d/1xsp01RMmkav9iTy39Zaj_7tE9677EGlOJ14KU9TZn7I/"",""1985-2003!H3228"")"),0.13683306)</f>
        <v>0.13683306000000001</v>
      </c>
      <c r="E162" s="76">
        <f ca="1">IFERROR(__xludf.DUMMYFUNCTION("$C156*IMPORTRANGE(""https://docs.google.com/spreadsheets/d/1xsp01RMmkav9iTy39Zaj_7tE9677EGlOJ14KU9TZn7I/"",""1985-2003!T3228"")"),0.10908261)</f>
        <v>0.10908261</v>
      </c>
      <c r="F162" s="76">
        <f ca="1">IFERROR(__xludf.DUMMYFUNCTION("$C156*IMPORTRANGE(""https://docs.google.com/spreadsheets/d/1xsp01RMmkav9iTy39Zaj_7tE9677EGlOJ14KU9TZn7I/"",""1985-2003!AC3228"")"),19.408025)</f>
        <v>19.408024999999999</v>
      </c>
      <c r="G162" s="73" t="s">
        <v>8</v>
      </c>
      <c r="H162" s="121"/>
      <c r="I162" s="121"/>
      <c r="J162" s="121"/>
      <c r="K162" s="2"/>
      <c r="L162" s="3"/>
      <c r="M162" s="122"/>
      <c r="N162" s="122"/>
      <c r="O162" s="122"/>
      <c r="P162" s="122"/>
      <c r="Q162" s="2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:26" ht="13.2" x14ac:dyDescent="0.25">
      <c r="A163" s="61" t="s">
        <v>182</v>
      </c>
      <c r="B163" s="62">
        <v>1</v>
      </c>
      <c r="C163" s="63">
        <v>0</v>
      </c>
      <c r="D163" s="72">
        <f ca="1">IFERROR(__xludf.DUMMYFUNCTION("$C157*IMPORTRANGE(""https://docs.google.com/spreadsheets/d/1xsp01RMmkav9iTy39Zaj_7tE9677EGlOJ14KU9TZn7I/"",""1985-2003!H3250"")"),0)</f>
        <v>0</v>
      </c>
      <c r="E163" s="72">
        <f ca="1">IFERROR(__xludf.DUMMYFUNCTION("$C157*IMPORTRANGE(""https://docs.google.com/spreadsheets/d/1xsp01RMmkav9iTy39Zaj_7tE9677EGlOJ14KU9TZn7I/"",""1985-2003!T3250"")"),0)</f>
        <v>0</v>
      </c>
      <c r="F163" s="72">
        <f ca="1">IFERROR(__xludf.DUMMYFUNCTION("$C157*IMPORTRANGE(""https://docs.google.com/spreadsheets/d/1xsp01RMmkav9iTy39Zaj_7tE9677EGlOJ14KU9TZn7I/"",""1985-2003!AC3250"")"),0)</f>
        <v>0</v>
      </c>
      <c r="G163" s="61" t="s">
        <v>8</v>
      </c>
      <c r="H163" s="121"/>
      <c r="I163" s="121"/>
      <c r="J163" s="121"/>
      <c r="K163" s="2"/>
      <c r="L163" s="3"/>
      <c r="M163" s="122"/>
      <c r="N163" s="122"/>
      <c r="O163" s="122"/>
      <c r="P163" s="122"/>
      <c r="Q163" s="2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:26" ht="13.2" x14ac:dyDescent="0.25">
      <c r="A164" s="77" t="s">
        <v>183</v>
      </c>
      <c r="B164" s="78">
        <v>6</v>
      </c>
      <c r="C164" s="79">
        <f>185/1000</f>
        <v>0.185</v>
      </c>
      <c r="D164" s="80">
        <f ca="1">IFERROR(__xludf.DUMMYFUNCTION("$C158*IMPORTRANGE(""https://docs.google.com/spreadsheets/d/1xsp01RMmkav9iTy39Zaj_7tE9677EGlOJ14KU9TZn7I/"",""1985-2003!H3273"")"),0.147962999999999)</f>
        <v>0.14796299999999901</v>
      </c>
      <c r="E164" s="80">
        <f ca="1">IFERROR(__xludf.DUMMYFUNCTION("$C158*IMPORTRANGE(""https://docs.google.com/spreadsheets/d/1xsp01RMmkav9iTy39Zaj_7tE9677EGlOJ14KU9TZn7I/"",""1985-2003!T3273"")"),0.11119425)</f>
        <v>0.11119424999999999</v>
      </c>
      <c r="F164" s="80">
        <f ca="1">IFERROR(__xludf.DUMMYFUNCTION("$C158*IMPORTRANGE(""https://docs.google.com/spreadsheets/d/1xsp01RMmkav9iTy39Zaj_7tE9677EGlOJ14KU9TZn7I/"",""1985-2003!AC3273"")"),21.072425)</f>
        <v>21.072424999999999</v>
      </c>
      <c r="G164" s="77" t="s">
        <v>8</v>
      </c>
      <c r="H164" s="121"/>
      <c r="I164" s="121"/>
      <c r="J164" s="121"/>
      <c r="K164" s="2"/>
      <c r="L164" s="3"/>
      <c r="M164" s="122"/>
      <c r="N164" s="122"/>
      <c r="O164" s="122"/>
      <c r="P164" s="122"/>
      <c r="Q164" s="2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spans="1:26" ht="13.2" x14ac:dyDescent="0.25">
      <c r="A165" s="58">
        <v>1997</v>
      </c>
      <c r="B165" s="59"/>
      <c r="C165" s="60"/>
      <c r="D165" s="60"/>
      <c r="E165" s="60"/>
      <c r="F165" s="60"/>
      <c r="G165" s="58"/>
      <c r="H165" s="121"/>
      <c r="I165" s="121"/>
      <c r="J165" s="121"/>
      <c r="K165" s="2"/>
      <c r="L165" s="3"/>
      <c r="M165" s="122"/>
      <c r="N165" s="122"/>
      <c r="O165" s="122"/>
      <c r="P165" s="122"/>
      <c r="Q165" s="2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spans="1:26" ht="13.2" x14ac:dyDescent="0.25">
      <c r="A166" s="61" t="s">
        <v>184</v>
      </c>
      <c r="B166" s="62">
        <v>2</v>
      </c>
      <c r="C166" s="63">
        <f>1074/1000</f>
        <v>1.0740000000000001</v>
      </c>
      <c r="D166" s="72">
        <f ca="1">IFERROR(__xludf.DUMMYFUNCTION("$C160*IMPORTRANGE(""https://docs.google.com/spreadsheets/d/1xsp01RMmkav9iTy39Zaj_7tE9677EGlOJ14KU9TZn7I/"",""1985-2003!H3297"")"),0.8812707)</f>
        <v>0.88127069999999996</v>
      </c>
      <c r="E166" s="72">
        <f ca="1">IFERROR(__xludf.DUMMYFUNCTION("$C160*IMPORTRANGE(""https://docs.google.com/spreadsheets/d/1xsp01RMmkav9iTy39Zaj_7tE9677EGlOJ14KU9TZn7I/"",""1985-2003!T3297"")"),0.6435945)</f>
        <v>0.64359449999999996</v>
      </c>
      <c r="F166" s="72">
        <f ca="1">IFERROR(__xludf.DUMMYFUNCTION("$C160*IMPORTRANGE(""https://docs.google.com/spreadsheets/d/1xsp01RMmkav9iTy39Zaj_7tE9677EGlOJ14KU9TZn7I/"",""1985-2003!AC3297"")"),125.7654)</f>
        <v>125.7654</v>
      </c>
      <c r="G166" s="61" t="s">
        <v>8</v>
      </c>
      <c r="H166" s="121"/>
      <c r="I166" s="121"/>
      <c r="J166" s="121"/>
      <c r="K166" s="2"/>
      <c r="L166" s="3"/>
      <c r="M166" s="122"/>
      <c r="N166" s="122"/>
      <c r="O166" s="122"/>
      <c r="P166" s="122"/>
      <c r="Q166" s="2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spans="1:26" ht="13.2" x14ac:dyDescent="0.25">
      <c r="A167" s="73" t="s">
        <v>185</v>
      </c>
      <c r="B167" s="74">
        <v>0</v>
      </c>
      <c r="C167" s="75">
        <v>0</v>
      </c>
      <c r="D167" s="76">
        <f ca="1">IFERROR(__xludf.DUMMYFUNCTION("$C161*IMPORTRANGE(""https://docs.google.com/spreadsheets/d/1xsp01RMmkav9iTy39Zaj_7tE9677EGlOJ14KU9TZn7I/"",""1985-2003!H3318"")"),0)</f>
        <v>0</v>
      </c>
      <c r="E167" s="76">
        <f ca="1">IFERROR(__xludf.DUMMYFUNCTION("$C161*IMPORTRANGE(""https://docs.google.com/spreadsheets/d/1xsp01RMmkav9iTy39Zaj_7tE9677EGlOJ14KU9TZn7I/"",""1985-2003!T3318"")"),0)</f>
        <v>0</v>
      </c>
      <c r="F167" s="76">
        <f ca="1">IFERROR(__xludf.DUMMYFUNCTION("$C161*IMPORTRANGE(""https://docs.google.com/spreadsheets/d/1xsp01RMmkav9iTy39Zaj_7tE9677EGlOJ14KU9TZn7I/"",""1985-2003!AC3318"")"),0)</f>
        <v>0</v>
      </c>
      <c r="G167" s="73" t="s">
        <v>8</v>
      </c>
      <c r="H167" s="121"/>
      <c r="I167" s="121"/>
      <c r="J167" s="121"/>
      <c r="K167" s="2"/>
      <c r="L167" s="3"/>
      <c r="M167" s="122"/>
      <c r="N167" s="122"/>
      <c r="O167" s="122"/>
      <c r="P167" s="122"/>
      <c r="Q167" s="2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spans="1:26" ht="13.2" x14ac:dyDescent="0.25">
      <c r="A168" s="61" t="s">
        <v>186</v>
      </c>
      <c r="B168" s="62">
        <v>1</v>
      </c>
      <c r="C168" s="63">
        <f>8.5/1000</f>
        <v>8.5000000000000006E-3</v>
      </c>
      <c r="D168" s="72">
        <f ca="1">IFERROR(__xludf.DUMMYFUNCTION("$C162*IMPORTRANGE(""https://docs.google.com/spreadsheets/d/1xsp01RMmkav9iTy39Zaj_7tE9677EGlOJ14KU9TZn7I/"",""1985-2003!H3340"")"),0.00740265)</f>
        <v>7.4026500000000002E-3</v>
      </c>
      <c r="E168" s="72">
        <f ca="1">IFERROR(__xludf.DUMMYFUNCTION("$C162*IMPORTRANGE(""https://docs.google.com/spreadsheets/d/1xsp01RMmkav9iTy39Zaj_7tE9677EGlOJ14KU9TZn7I/"",""1985-2003!T3340"")"),0.0052989)</f>
        <v>5.2988999999999996E-3</v>
      </c>
      <c r="F168" s="72">
        <f ca="1">IFERROR(__xludf.DUMMYFUNCTION("$C162*IMPORTRANGE(""https://docs.google.com/spreadsheets/d/1xsp01RMmkav9iTy39Zaj_7tE9677EGlOJ14KU9TZn7I/"",""1985-2003!AC3340"")"),1.04363)</f>
        <v>1.0436300000000001</v>
      </c>
      <c r="G168" s="61" t="s">
        <v>8</v>
      </c>
      <c r="H168" s="121"/>
      <c r="I168" s="121"/>
      <c r="J168" s="121"/>
      <c r="K168" s="2"/>
      <c r="L168" s="3"/>
      <c r="M168" s="122"/>
      <c r="N168" s="122"/>
      <c r="O168" s="122"/>
      <c r="P168" s="122"/>
      <c r="Q168" s="2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spans="1:26" ht="13.2" x14ac:dyDescent="0.25">
      <c r="A169" s="73" t="s">
        <v>187</v>
      </c>
      <c r="B169" s="74">
        <v>1</v>
      </c>
      <c r="C169" s="75">
        <f>281.6/1000</f>
        <v>0.28160000000000002</v>
      </c>
      <c r="D169" s="76">
        <f ca="1">IFERROR(__xludf.DUMMYFUNCTION("$C163*IMPORTRANGE(""https://docs.google.com/spreadsheets/d/1xsp01RMmkav9iTy39Zaj_7tE9677EGlOJ14KU9TZn7I/"",""1985-2003!H3363"")"),0.24755456)</f>
        <v>0.24755456000000001</v>
      </c>
      <c r="E169" s="76">
        <f ca="1">IFERROR(__xludf.DUMMYFUNCTION("$C163*IMPORTRANGE(""https://docs.google.com/spreadsheets/d/1xsp01RMmkav9iTy39Zaj_7tE9677EGlOJ14KU9TZn7I/"",""1985-2003!T3363"")"),0.17312768)</f>
        <v>0.17312768000000001</v>
      </c>
      <c r="F169" s="76">
        <f ca="1">IFERROR(__xludf.DUMMYFUNCTION("$C163*IMPORTRANGE(""https://docs.google.com/spreadsheets/d/1xsp01RMmkav9iTy39Zaj_7tE9677EGlOJ14KU9TZn7I/"",""1985-2003!AC3363"")"),35.498496)</f>
        <v>35.498496000000003</v>
      </c>
      <c r="G169" s="73" t="s">
        <v>8</v>
      </c>
      <c r="H169" s="121"/>
      <c r="I169" s="121"/>
      <c r="J169" s="121"/>
      <c r="K169" s="2"/>
      <c r="L169" s="3"/>
      <c r="M169" s="122"/>
      <c r="N169" s="122"/>
      <c r="O169" s="122"/>
      <c r="P169" s="122"/>
      <c r="Q169" s="2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spans="1:26" ht="13.2" x14ac:dyDescent="0.25">
      <c r="A170" s="61" t="s">
        <v>188</v>
      </c>
      <c r="B170" s="62">
        <v>3</v>
      </c>
      <c r="C170" s="63">
        <f>300.5/1000</f>
        <v>0.30049999999999999</v>
      </c>
      <c r="D170" s="72">
        <f ca="1">IFERROR(__xludf.DUMMYFUNCTION("$C164*IMPORTRANGE(""https://docs.google.com/spreadsheets/d/1xsp01RMmkav9iTy39Zaj_7tE9677EGlOJ14KU9TZn7I/"",""1985-2003!H3386"")"),0.26152515)</f>
        <v>0.26152514999999998</v>
      </c>
      <c r="E170" s="72">
        <f ca="1">IFERROR(__xludf.DUMMYFUNCTION("$C164*IMPORTRANGE(""https://docs.google.com/spreadsheets/d/1xsp01RMmkav9iTy39Zaj_7tE9677EGlOJ14KU9TZn7I/"",""1985-2003!T3386"")"),0.183951075)</f>
        <v>0.18395107499999999</v>
      </c>
      <c r="F170" s="72">
        <f ca="1">IFERROR(__xludf.DUMMYFUNCTION("$C164*IMPORTRANGE(""https://docs.google.com/spreadsheets/d/1xsp01RMmkav9iTy39Zaj_7tE9677EGlOJ14KU9TZn7I/"",""1985-2003!AC3386"")"),35.011255)</f>
        <v>35.011254999999998</v>
      </c>
      <c r="G170" s="61" t="s">
        <v>8</v>
      </c>
      <c r="H170" s="121"/>
      <c r="I170" s="121"/>
      <c r="J170" s="121"/>
      <c r="K170" s="2"/>
      <c r="L170" s="3"/>
      <c r="M170" s="122"/>
      <c r="N170" s="122"/>
      <c r="O170" s="122"/>
      <c r="P170" s="122"/>
      <c r="Q170" s="2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spans="1:26" ht="13.2" x14ac:dyDescent="0.25">
      <c r="A171" s="73" t="s">
        <v>189</v>
      </c>
      <c r="B171" s="74">
        <v>7</v>
      </c>
      <c r="C171" s="75">
        <f>1547.9/1000</f>
        <v>1.5479000000000001</v>
      </c>
      <c r="D171" s="76">
        <f ca="1">IFERROR(__xludf.DUMMYFUNCTION("$C165*IMPORTRANGE(""https://docs.google.com/spreadsheets/d/1xsp01RMmkav9iTy39Zaj_7tE9677EGlOJ14KU9TZn7I/"",""1985-2003!H3408"")"),1.36818881)</f>
        <v>1.3681888099999999</v>
      </c>
      <c r="E171" s="76">
        <f ca="1">IFERROR(__xludf.DUMMYFUNCTION("$C165*IMPORTRANGE(""https://docs.google.com/spreadsheets/d/1xsp01RMmkav9iTy39Zaj_7tE9677EGlOJ14KU9TZn7I/"",""1985-2003!T3408"")"),0.94499295)</f>
        <v>0.94499295000000005</v>
      </c>
      <c r="F171" s="76">
        <f ca="1">IFERROR(__xludf.DUMMYFUNCTION("$C165*IMPORTRANGE(""https://docs.google.com/spreadsheets/d/1xsp01RMmkav9iTy39Zaj_7tE9677EGlOJ14KU9TZn7I/"",""1985-2003!AC3408"")"),176.894012)</f>
        <v>176.894012</v>
      </c>
      <c r="G171" s="73" t="s">
        <v>8</v>
      </c>
      <c r="H171" s="121"/>
      <c r="I171" s="121"/>
      <c r="J171" s="121"/>
      <c r="K171" s="2"/>
      <c r="L171" s="3"/>
      <c r="M171" s="122"/>
      <c r="N171" s="122"/>
      <c r="O171" s="122"/>
      <c r="P171" s="122"/>
      <c r="Q171" s="2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spans="1:26" ht="13.2" x14ac:dyDescent="0.25">
      <c r="A172" s="61" t="s">
        <v>190</v>
      </c>
      <c r="B172" s="62">
        <v>2</v>
      </c>
      <c r="C172" s="63">
        <f>458.3/1000</f>
        <v>0.45829999999999999</v>
      </c>
      <c r="D172" s="72">
        <f ca="1">IFERROR(__xludf.DUMMYFUNCTION("$C166*IMPORTRANGE(""https://docs.google.com/spreadsheets/d/1xsp01RMmkav9iTy39Zaj_7tE9677EGlOJ14KU9TZn7I/"",""1985-2003!H3432"")"),0.41755713)</f>
        <v>0.41755713</v>
      </c>
      <c r="E172" s="72">
        <f ca="1">IFERROR(__xludf.DUMMYFUNCTION("$C166*IMPORTRANGE(""https://docs.google.com/spreadsheets/d/1xsp01RMmkav9iTy39Zaj_7tE9677EGlOJ14KU9TZn7I/"",""1985-2003!T3432"")"),0.27333012)</f>
        <v>0.27333012000000001</v>
      </c>
      <c r="F172" s="72">
        <f ca="1">IFERROR(__xludf.DUMMYFUNCTION("$C166*IMPORTRANGE(""https://docs.google.com/spreadsheets/d/1xsp01RMmkav9iTy39Zaj_7tE9677EGlOJ14KU9TZn7I/"",""1985-2003!AC3432"")"),52.93365)</f>
        <v>52.93365</v>
      </c>
      <c r="G172" s="61" t="s">
        <v>8</v>
      </c>
      <c r="H172" s="121"/>
      <c r="I172" s="121"/>
      <c r="J172" s="121"/>
      <c r="K172" s="2"/>
      <c r="L172" s="3"/>
      <c r="M172" s="122"/>
      <c r="N172" s="122"/>
      <c r="O172" s="122"/>
      <c r="P172" s="122"/>
      <c r="Q172" s="2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spans="1:26" ht="13.2" x14ac:dyDescent="0.25">
      <c r="A173" s="73" t="s">
        <v>191</v>
      </c>
      <c r="B173" s="74">
        <v>2</v>
      </c>
      <c r="C173" s="75">
        <f>250/1000</f>
        <v>0.25</v>
      </c>
      <c r="D173" s="76">
        <f ca="1">IFERROR(__xludf.DUMMYFUNCTION("$C167*IMPORTRANGE(""https://docs.google.com/spreadsheets/d/1xsp01RMmkav9iTy39Zaj_7tE9677EGlOJ14KU9TZn7I/"",""1985-2003!H3454"")"),0.2345375)</f>
        <v>0.23453750000000001</v>
      </c>
      <c r="E173" s="76">
        <f ca="1">IFERROR(__xludf.DUMMYFUNCTION("$C167*IMPORTRANGE(""https://docs.google.com/spreadsheets/d/1xsp01RMmkav9iTy39Zaj_7tE9677EGlOJ14KU9TZn7I/"",""1985-2003!T3454"")"),0.155662499999999)</f>
        <v>0.15566249999999901</v>
      </c>
      <c r="F173" s="76">
        <f ca="1">IFERROR(__xludf.DUMMYFUNCTION("$C167*IMPORTRANGE(""https://docs.google.com/spreadsheets/d/1xsp01RMmkav9iTy39Zaj_7tE9677EGlOJ14KU9TZn7I/"",""1985-2003!AC3454"")"),29.53)</f>
        <v>29.53</v>
      </c>
      <c r="G173" s="73" t="s">
        <v>8</v>
      </c>
      <c r="H173" s="121"/>
      <c r="I173" s="121"/>
      <c r="J173" s="121"/>
      <c r="K173" s="2"/>
      <c r="L173" s="3"/>
      <c r="M173" s="122"/>
      <c r="N173" s="122"/>
      <c r="O173" s="122"/>
      <c r="P173" s="122"/>
      <c r="Q173" s="2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spans="1:26" ht="13.2" x14ac:dyDescent="0.25">
      <c r="A174" s="61" t="s">
        <v>192</v>
      </c>
      <c r="B174" s="62">
        <v>4</v>
      </c>
      <c r="C174" s="63">
        <f>119.5/1000</f>
        <v>0.1195</v>
      </c>
      <c r="D174" s="72">
        <f ca="1">IFERROR(__xludf.DUMMYFUNCTION("$C168*IMPORTRANGE(""https://docs.google.com/spreadsheets/d/1xsp01RMmkav9iTy39Zaj_7tE9677EGlOJ14KU9TZn7I/"",""1985-2003!H3477"")"),0.108470149999999)</f>
        <v>0.108470149999999</v>
      </c>
      <c r="E174" s="72">
        <f ca="1">IFERROR(__xludf.DUMMYFUNCTION("$C168*IMPORTRANGE(""https://docs.google.com/spreadsheets/d/1xsp01RMmkav9iTy39Zaj_7tE9677EGlOJ14KU9TZn7I/"",""1985-2003!T3477"")"),0.074478375)</f>
        <v>7.4478374999999999E-2</v>
      </c>
      <c r="F174" s="72">
        <f ca="1">IFERROR(__xludf.DUMMYFUNCTION("$C168*IMPORTRANGE(""https://docs.google.com/spreadsheets/d/1xsp01RMmkav9iTy39Zaj_7tE9677EGlOJ14KU9TZn7I/"",""1985-2003!AC3477"")"),14.465475)</f>
        <v>14.465475</v>
      </c>
      <c r="G174" s="61" t="s">
        <v>8</v>
      </c>
      <c r="H174" s="121"/>
      <c r="I174" s="121"/>
      <c r="J174" s="121"/>
      <c r="K174" s="2"/>
      <c r="L174" s="3"/>
      <c r="M174" s="122"/>
      <c r="N174" s="122"/>
      <c r="O174" s="122"/>
      <c r="P174" s="122"/>
      <c r="Q174" s="2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spans="1:26" ht="13.2" x14ac:dyDescent="0.25">
      <c r="A175" s="73" t="s">
        <v>193</v>
      </c>
      <c r="B175" s="74">
        <v>2</v>
      </c>
      <c r="C175" s="75">
        <f>185/1000</f>
        <v>0.185</v>
      </c>
      <c r="D175" s="76">
        <f ca="1">IFERROR(__xludf.DUMMYFUNCTION("$C169*IMPORTRANGE(""https://docs.google.com/spreadsheets/d/1xsp01RMmkav9iTy39Zaj_7tE9677EGlOJ14KU9TZn7I/"",""1985-2003!H3501"")"),0.165408499999999)</f>
        <v>0.16540849999999899</v>
      </c>
      <c r="E175" s="76">
        <f ca="1">IFERROR(__xludf.DUMMYFUNCTION("$C169*IMPORTRANGE(""https://docs.google.com/spreadsheets/d/1xsp01RMmkav9iTy39Zaj_7tE9677EGlOJ14KU9TZn7I/"",""1985-2003!T3501"")"),0.113959999999999)</f>
        <v>0.11395999999999901</v>
      </c>
      <c r="F175" s="76">
        <f ca="1">IFERROR(__xludf.DUMMYFUNCTION("$C169*IMPORTRANGE(""https://docs.google.com/spreadsheets/d/1xsp01RMmkav9iTy39Zaj_7tE9677EGlOJ14KU9TZn7I/"",""1985-2003!AC3501"")"),22.39425)</f>
        <v>22.39425</v>
      </c>
      <c r="G175" s="73" t="s">
        <v>8</v>
      </c>
      <c r="H175" s="121"/>
      <c r="I175" s="121"/>
      <c r="J175" s="121"/>
      <c r="K175" s="2"/>
      <c r="L175" s="3"/>
      <c r="M175" s="122"/>
      <c r="N175" s="122"/>
      <c r="O175" s="122"/>
      <c r="P175" s="122"/>
      <c r="Q175" s="2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spans="1:26" ht="13.2" x14ac:dyDescent="0.25">
      <c r="A176" s="61" t="s">
        <v>194</v>
      </c>
      <c r="B176" s="62">
        <v>5</v>
      </c>
      <c r="C176" s="63">
        <f>495.1/1000</f>
        <v>0.49510000000000004</v>
      </c>
      <c r="D176" s="72">
        <f ca="1">IFERROR(__xludf.DUMMYFUNCTION("$C170*IMPORTRANGE(""https://docs.google.com/spreadsheets/d/1xsp01RMmkav9iTy39Zaj_7tE9677EGlOJ14KU9TZn7I/"",""1985-2003!H3522"")"),0.43499486)</f>
        <v>0.43499485999999998</v>
      </c>
      <c r="E176" s="72">
        <f ca="1">IFERROR(__xludf.DUMMYFUNCTION("$C170*IMPORTRANGE(""https://docs.google.com/spreadsheets/d/1xsp01RMmkav9iTy39Zaj_7tE9677EGlOJ14KU9TZn7I/"",""1985-2003!T3522"")"),0.29270312)</f>
        <v>0.29270311999999998</v>
      </c>
      <c r="F176" s="72">
        <f ca="1">IFERROR(__xludf.DUMMYFUNCTION("$C170*IMPORTRANGE(""https://docs.google.com/spreadsheets/d/1xsp01RMmkav9iTy39Zaj_7tE9677EGlOJ14KU9TZn7I/"",""1985-2003!AC3522"")"),62.3058595)</f>
        <v>62.305859499999997</v>
      </c>
      <c r="G176" s="61" t="s">
        <v>8</v>
      </c>
      <c r="H176" s="121"/>
      <c r="I176" s="121"/>
      <c r="J176" s="121"/>
      <c r="K176" s="2"/>
      <c r="L176" s="3"/>
      <c r="M176" s="122"/>
      <c r="N176" s="122"/>
      <c r="O176" s="122"/>
      <c r="P176" s="122"/>
      <c r="Q176" s="2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spans="1:26" ht="13.2" x14ac:dyDescent="0.25">
      <c r="A177" s="77" t="s">
        <v>195</v>
      </c>
      <c r="B177" s="78">
        <v>5</v>
      </c>
      <c r="C177" s="79">
        <f>135/1000</f>
        <v>0.13500000000000001</v>
      </c>
      <c r="D177" s="80">
        <f ca="1">IFERROR(__xludf.DUMMYFUNCTION("$C171*IMPORTRANGE(""https://docs.google.com/spreadsheets/d/1xsp01RMmkav9iTy39Zaj_7tE9677EGlOJ14KU9TZn7I/"",""1985-2003!H3546"")"),0.1217295)</f>
        <v>0.1217295</v>
      </c>
      <c r="E177" s="80">
        <f ca="1">IFERROR(__xludf.DUMMYFUNCTION("$C171*IMPORTRANGE(""https://docs.google.com/spreadsheets/d/1xsp01RMmkav9iTy39Zaj_7tE9677EGlOJ14KU9TZn7I/"",""1985-2003!T3546"")"),0.081459)</f>
        <v>8.1459000000000004E-2</v>
      </c>
      <c r="F177" s="80">
        <f ca="1">IFERROR(__xludf.DUMMYFUNCTION("$C171*IMPORTRANGE(""https://docs.google.com/spreadsheets/d/1xsp01RMmkav9iTy39Zaj_7tE9677EGlOJ14KU9TZn7I/"",""1985-2003!AC3546"")"),17.51625)</f>
        <v>17.516249999999999</v>
      </c>
      <c r="G177" s="77" t="s">
        <v>8</v>
      </c>
      <c r="H177" s="121"/>
      <c r="I177" s="121"/>
      <c r="J177" s="121"/>
      <c r="K177" s="2"/>
      <c r="L177" s="3"/>
      <c r="M177" s="122"/>
      <c r="N177" s="122"/>
      <c r="O177" s="122"/>
      <c r="P177" s="122"/>
      <c r="Q177" s="2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spans="1:26" ht="13.2" x14ac:dyDescent="0.25">
      <c r="A178" s="58">
        <v>1998</v>
      </c>
      <c r="B178" s="59"/>
      <c r="C178" s="60"/>
      <c r="D178" s="60"/>
      <c r="E178" s="60"/>
      <c r="F178" s="60"/>
      <c r="G178" s="58"/>
      <c r="H178" s="121"/>
      <c r="I178" s="121"/>
      <c r="J178" s="121"/>
      <c r="K178" s="2"/>
      <c r="L178" s="3"/>
      <c r="M178" s="122"/>
      <c r="N178" s="122"/>
      <c r="O178" s="122"/>
      <c r="P178" s="122"/>
      <c r="Q178" s="2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spans="1:26" ht="13.2" x14ac:dyDescent="0.25">
      <c r="A179" s="61" t="s">
        <v>196</v>
      </c>
      <c r="B179" s="62">
        <v>8</v>
      </c>
      <c r="C179" s="63">
        <f>67.1/1000</f>
        <v>6.7099999999999993E-2</v>
      </c>
      <c r="D179" s="72">
        <f ca="1">IFERROR(__xludf.DUMMYFUNCTION("$C173*IMPORTRANGE(""https://docs.google.com/spreadsheets/d/1xsp01RMmkav9iTy39Zaj_7tE9677EGlOJ14KU9TZn7I/"",""1985-2003!H3569"")"),0.06214802)</f>
        <v>6.2148019999999998E-2</v>
      </c>
      <c r="E179" s="72">
        <f ca="1">IFERROR(__xludf.DUMMYFUNCTION("$C173*IMPORTRANGE(""https://docs.google.com/spreadsheets/d/1xsp01RMmkav9iTy39Zaj_7tE9677EGlOJ14KU9TZn7I/"",""1985-2003!T3569"")"),0.0410786199999999)</f>
        <v>4.1078619999999899E-2</v>
      </c>
      <c r="F179" s="72">
        <f ca="1">IFERROR(__xludf.DUMMYFUNCTION("$C173*IMPORTRANGE(""https://docs.google.com/spreadsheets/d/1xsp01RMmkav9iTy39Zaj_7tE9677EGlOJ14KU9TZn7I/"",""1985-2003!AC3569"")"),8.672675)</f>
        <v>8.6726749999999999</v>
      </c>
      <c r="G179" s="61" t="s">
        <v>8</v>
      </c>
      <c r="H179" s="121"/>
      <c r="I179" s="121"/>
      <c r="J179" s="121"/>
      <c r="K179" s="2"/>
      <c r="L179" s="3"/>
      <c r="M179" s="122"/>
      <c r="N179" s="122"/>
      <c r="O179" s="122"/>
      <c r="P179" s="122"/>
      <c r="Q179" s="2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spans="1:26" ht="13.2" x14ac:dyDescent="0.25">
      <c r="A180" s="73" t="s">
        <v>197</v>
      </c>
      <c r="B180" s="74">
        <v>8</v>
      </c>
      <c r="C180" s="75">
        <f>227.4/1000</f>
        <v>0.22740000000000002</v>
      </c>
      <c r="D180" s="76">
        <f ca="1">IFERROR(__xludf.DUMMYFUNCTION("$C174*IMPORTRANGE(""https://docs.google.com/spreadsheets/d/1xsp01RMmkav9iTy39Zaj_7tE9677EGlOJ14KU9TZn7I/"",""1985-2003!H3590"")"),0.21001527)</f>
        <v>0.21001527</v>
      </c>
      <c r="E180" s="76">
        <f ca="1">IFERROR(__xludf.DUMMYFUNCTION("$C174*IMPORTRANGE(""https://docs.google.com/spreadsheets/d/1xsp01RMmkav9iTy39Zaj_7tE9677EGlOJ14KU9TZn7I/"",""1985-2003!T3590"")"),0.13873674)</f>
        <v>0.13873674</v>
      </c>
      <c r="F180" s="76">
        <f ca="1">IFERROR(__xludf.DUMMYFUNCTION("$C174*IMPORTRANGE(""https://docs.google.com/spreadsheets/d/1xsp01RMmkav9iTy39Zaj_7tE9677EGlOJ14KU9TZn7I/"",""1985-2003!AC3590"")"),28.636482)</f>
        <v>28.636482000000001</v>
      </c>
      <c r="G180" s="73" t="s">
        <v>8</v>
      </c>
      <c r="H180" s="121"/>
      <c r="I180" s="121"/>
      <c r="J180" s="121"/>
      <c r="K180" s="2"/>
      <c r="L180" s="3"/>
      <c r="M180" s="122"/>
      <c r="N180" s="122"/>
      <c r="O180" s="122"/>
      <c r="P180" s="122"/>
      <c r="Q180" s="2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spans="1:26" ht="13.2" x14ac:dyDescent="0.25">
      <c r="A181" s="61" t="s">
        <v>198</v>
      </c>
      <c r="B181" s="62">
        <v>10</v>
      </c>
      <c r="C181" s="63">
        <f>825.3/1000</f>
        <v>0.82529999999999992</v>
      </c>
      <c r="D181" s="72">
        <f ca="1">IFERROR(__xludf.DUMMYFUNCTION("$C175*IMPORTRANGE(""https://docs.google.com/spreadsheets/d/1xsp01RMmkav9iTy39Zaj_7tE9677EGlOJ14KU9TZn7I/"",""1985-2003!H3613"")"),0.765300689999999)</f>
        <v>0.76530068999999901</v>
      </c>
      <c r="E181" s="72">
        <f ca="1">IFERROR(__xludf.DUMMYFUNCTION("$C175*IMPORTRANGE(""https://docs.google.com/spreadsheets/d/1xsp01RMmkav9iTy39Zaj_7tE9677EGlOJ14KU9TZn7I/"",""1985-2003!T3613"")"),0.495138734999999)</f>
        <v>0.495138734999999</v>
      </c>
      <c r="F181" s="72">
        <f ca="1">IFERROR(__xludf.DUMMYFUNCTION("$C175*IMPORTRANGE(""https://docs.google.com/spreadsheets/d/1xsp01RMmkav9iTy39Zaj_7tE9677EGlOJ14KU9TZn7I/"",""1985-2003!AC3613"")"),106.447194)</f>
        <v>106.447194</v>
      </c>
      <c r="G181" s="61" t="s">
        <v>8</v>
      </c>
      <c r="H181" s="121"/>
      <c r="I181" s="121"/>
      <c r="J181" s="121"/>
      <c r="K181" s="2"/>
      <c r="L181" s="3"/>
      <c r="M181" s="122"/>
      <c r="N181" s="122"/>
      <c r="O181" s="122"/>
      <c r="P181" s="122"/>
      <c r="Q181" s="2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spans="1:26" ht="13.2" x14ac:dyDescent="0.25">
      <c r="A182" s="73" t="s">
        <v>199</v>
      </c>
      <c r="B182" s="74">
        <v>14</v>
      </c>
      <c r="C182" s="75">
        <f>247.5/1000</f>
        <v>0.2475</v>
      </c>
      <c r="D182" s="76">
        <f ca="1">IFERROR(__xludf.DUMMYFUNCTION("$C176*IMPORTRANGE(""https://docs.google.com/spreadsheets/d/1xsp01RMmkav9iTy39Zaj_7tE9677EGlOJ14KU9TZn7I/"",""1985-2003!H3636"")"),0.22658625)</f>
        <v>0.22658624999999999</v>
      </c>
      <c r="E182" s="76">
        <f ca="1">IFERROR(__xludf.DUMMYFUNCTION("$C176*IMPORTRANGE(""https://docs.google.com/spreadsheets/d/1xsp01RMmkav9iTy39Zaj_7tE9677EGlOJ14KU9TZn7I/"",""1985-2003!T3636"")"),0.148054499999999)</f>
        <v>0.14805449999999901</v>
      </c>
      <c r="F182" s="76">
        <f ca="1">IFERROR(__xludf.DUMMYFUNCTION("$C176*IMPORTRANGE(""https://docs.google.com/spreadsheets/d/1xsp01RMmkav9iTy39Zaj_7tE9677EGlOJ14KU9TZn7I/"",""1985-2003!AC3636"")"),32.6118374999999)</f>
        <v>32.611837499999901</v>
      </c>
      <c r="G182" s="73" t="s">
        <v>8</v>
      </c>
      <c r="H182" s="121"/>
      <c r="I182" s="121"/>
      <c r="J182" s="121"/>
      <c r="K182" s="2"/>
      <c r="L182" s="3"/>
      <c r="M182" s="122"/>
      <c r="N182" s="122"/>
      <c r="O182" s="122"/>
      <c r="P182" s="122"/>
      <c r="Q182" s="2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spans="1:26" ht="13.2" x14ac:dyDescent="0.25">
      <c r="A183" s="61" t="s">
        <v>200</v>
      </c>
      <c r="B183" s="62">
        <v>14</v>
      </c>
      <c r="C183" s="63">
        <f>6904.3/1000</f>
        <v>6.9043000000000001</v>
      </c>
      <c r="D183" s="72">
        <f ca="1">IFERROR(__xludf.DUMMYFUNCTION("$C177*IMPORTRANGE(""https://docs.google.com/spreadsheets/d/1xsp01RMmkav9iTy39Zaj_7tE9677EGlOJ14KU9TZn7I/"",""1985-2003!H3658"")"),6.24977236)</f>
        <v>6.2497723599999997</v>
      </c>
      <c r="E183" s="72">
        <f ca="1">IFERROR(__xludf.DUMMYFUNCTION("$C177*IMPORTRANGE(""https://docs.google.com/spreadsheets/d/1xsp01RMmkav9iTy39Zaj_7tE9677EGlOJ14KU9TZn7I/"",""1985-2003!T3658"")"),4.23164547)</f>
        <v>4.2316454700000001</v>
      </c>
      <c r="F183" s="72">
        <f ca="1">IFERROR(__xludf.DUMMYFUNCTION("$C177*IMPORTRANGE(""https://docs.google.com/spreadsheets/d/1xsp01RMmkav9iTy39Zaj_7tE9677EGlOJ14KU9TZn7I/"",""1985-2003!AC3658"")"),928.421221)</f>
        <v>928.42122099999995</v>
      </c>
      <c r="G183" s="61" t="s">
        <v>8</v>
      </c>
      <c r="H183" s="121"/>
      <c r="I183" s="121"/>
      <c r="J183" s="121"/>
      <c r="K183" s="2"/>
      <c r="L183" s="3"/>
      <c r="M183" s="122"/>
      <c r="N183" s="122"/>
      <c r="O183" s="122"/>
      <c r="P183" s="122"/>
      <c r="Q183" s="2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spans="1:26" ht="13.2" x14ac:dyDescent="0.25">
      <c r="A184" s="73" t="s">
        <v>201</v>
      </c>
      <c r="B184" s="74">
        <v>11</v>
      </c>
      <c r="C184" s="75">
        <f>1521.9/1000</f>
        <v>1.5219</v>
      </c>
      <c r="D184" s="76">
        <f ca="1">IFERROR(__xludf.DUMMYFUNCTION("$C178*IMPORTRANGE(""https://docs.google.com/spreadsheets/d/1xsp01RMmkav9iTy39Zaj_7tE9677EGlOJ14KU9TZn7I/"",""1985-2003!H3681"")"),1.38842937)</f>
        <v>1.3884293700000001</v>
      </c>
      <c r="E184" s="76">
        <f ca="1">IFERROR(__xludf.DUMMYFUNCTION("$C178*IMPORTRANGE(""https://docs.google.com/spreadsheets/d/1xsp01RMmkav9iTy39Zaj_7tE9677EGlOJ14KU9TZn7I/"",""1985-2003!T3681"")"),0.924782535)</f>
        <v>0.92478253499999996</v>
      </c>
      <c r="F184" s="76">
        <f ca="1">IFERROR(__xludf.DUMMYFUNCTION("$C178*IMPORTRANGE(""https://docs.google.com/spreadsheets/d/1xsp01RMmkav9iTy39Zaj_7tE9677EGlOJ14KU9TZn7I/"",""1985-2003!AC3681"")"),213.142095)</f>
        <v>213.14209500000001</v>
      </c>
      <c r="G184" s="73" t="s">
        <v>8</v>
      </c>
      <c r="H184" s="121"/>
      <c r="I184" s="121"/>
      <c r="J184" s="121"/>
      <c r="K184" s="2"/>
      <c r="L184" s="3"/>
      <c r="M184" s="122"/>
      <c r="N184" s="122"/>
      <c r="O184" s="122"/>
      <c r="P184" s="122"/>
      <c r="Q184" s="2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spans="1:26" ht="13.2" x14ac:dyDescent="0.25">
      <c r="A185" s="61" t="s">
        <v>202</v>
      </c>
      <c r="B185" s="62">
        <v>9</v>
      </c>
      <c r="C185" s="63">
        <f>1218.3/1000</f>
        <v>1.2182999999999999</v>
      </c>
      <c r="D185" s="72">
        <f ca="1">IFERROR(__xludf.DUMMYFUNCTION("$C179*IMPORTRANGE(""https://docs.google.com/spreadsheets/d/1xsp01RMmkav9iTy39Zaj_7tE9677EGlOJ14KU9TZn7I/"",""1985-2003!H3705"")"),1.10962764)</f>
        <v>1.10962764</v>
      </c>
      <c r="E185" s="72">
        <f ca="1">IFERROR(__xludf.DUMMYFUNCTION("$C179*IMPORTRANGE(""https://docs.google.com/spreadsheets/d/1xsp01RMmkav9iTy39Zaj_7tE9677EGlOJ14KU9TZn7I/"",""1985-2003!T3705"")"),0.741822869999999)</f>
        <v>0.74182286999999902</v>
      </c>
      <c r="F185" s="72">
        <f ca="1">IFERROR(__xludf.DUMMYFUNCTION("$C179*IMPORTRANGE(""https://docs.google.com/spreadsheets/d/1xsp01RMmkav9iTy39Zaj_7tE9677EGlOJ14KU9TZn7I/"",""1985-2003!AC3705"")"),171.439176)</f>
        <v>171.439176</v>
      </c>
      <c r="G185" s="61" t="s">
        <v>8</v>
      </c>
      <c r="H185" s="121"/>
      <c r="I185" s="121"/>
      <c r="J185" s="121"/>
      <c r="K185" s="2"/>
      <c r="L185" s="3"/>
      <c r="M185" s="122"/>
      <c r="N185" s="122"/>
      <c r="O185" s="122"/>
      <c r="P185" s="122"/>
      <c r="Q185" s="2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spans="1:26" ht="13.2" x14ac:dyDescent="0.25">
      <c r="A186" s="73" t="s">
        <v>203</v>
      </c>
      <c r="B186" s="82">
        <v>10</v>
      </c>
      <c r="C186" s="75">
        <f>111.6/1000</f>
        <v>0.11159999999999999</v>
      </c>
      <c r="D186" s="76">
        <f ca="1">IFERROR(__xludf.DUMMYFUNCTION("$C180*IMPORTRANGE(""https://docs.google.com/spreadsheets/d/1xsp01RMmkav9iTy39Zaj_7tE9677EGlOJ14KU9TZn7I/"",""1985-2003!H3727"")"),0.101706659999999)</f>
        <v>0.10170665999999901</v>
      </c>
      <c r="E186" s="76">
        <f ca="1">IFERROR(__xludf.DUMMYFUNCTION("$C180*IMPORTRANGE(""https://docs.google.com/spreadsheets/d/1xsp01RMmkav9iTy39Zaj_7tE9677EGlOJ14KU9TZn7I/"",""1985-2003!T3727"")"),0.0683773199999999)</f>
        <v>6.8377319999999894E-2</v>
      </c>
      <c r="F186" s="76">
        <f ca="1">IFERROR(__xludf.DUMMYFUNCTION("$C180*IMPORTRANGE(""https://docs.google.com/spreadsheets/d/1xsp01RMmkav9iTy39Zaj_7tE9677EGlOJ14KU9TZn7I/"",""1985-2003!AC3727"")"),16.138476)</f>
        <v>16.138476000000001</v>
      </c>
      <c r="G186" s="73" t="s">
        <v>8</v>
      </c>
      <c r="H186" s="121"/>
      <c r="I186" s="121"/>
      <c r="J186" s="121"/>
      <c r="K186" s="2"/>
      <c r="L186" s="3"/>
      <c r="M186" s="122"/>
      <c r="N186" s="122"/>
      <c r="O186" s="122"/>
      <c r="P186" s="122"/>
      <c r="Q186" s="2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spans="1:26" ht="13.2" x14ac:dyDescent="0.25">
      <c r="A187" s="61" t="s">
        <v>204</v>
      </c>
      <c r="B187" s="62">
        <v>15</v>
      </c>
      <c r="C187" s="63">
        <f>2181.3/1000</f>
        <v>2.1813000000000002</v>
      </c>
      <c r="D187" s="72">
        <f ca="1">IFERROR(__xludf.DUMMYFUNCTION("$C181*IMPORTRANGE(""https://docs.google.com/spreadsheets/d/1xsp01RMmkav9iTy39Zaj_7tE9677EGlOJ14KU9TZn7I/"",""1985-2003!H3750"")"),1.881044055)</f>
        <v>1.881044055</v>
      </c>
      <c r="E187" s="72">
        <f ca="1">IFERROR(__xludf.DUMMYFUNCTION("$C181*IMPORTRANGE(""https://docs.google.com/spreadsheets/d/1xsp01RMmkav9iTy39Zaj_7tE9677EGlOJ14KU9TZn7I/"",""1985-2003!T3750"")"),1.298200695)</f>
        <v>1.298200695</v>
      </c>
      <c r="F187" s="72">
        <f ca="1">IFERROR(__xludf.DUMMYFUNCTION("$C181*IMPORTRANGE(""https://docs.google.com/spreadsheets/d/1xsp01RMmkav9iTy39Zaj_7tE9677EGlOJ14KU9TZn7I/"",""1985-2003!AC3750"")"),293.3303175)</f>
        <v>293.33031749999998</v>
      </c>
      <c r="G187" s="61" t="s">
        <v>8</v>
      </c>
      <c r="H187" s="121"/>
      <c r="I187" s="121"/>
      <c r="J187" s="121"/>
      <c r="K187" s="2"/>
      <c r="L187" s="3"/>
      <c r="M187" s="122"/>
      <c r="N187" s="122"/>
      <c r="O187" s="122"/>
      <c r="P187" s="122"/>
      <c r="Q187" s="2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spans="1:26" ht="13.2" x14ac:dyDescent="0.25">
      <c r="A188" s="73" t="s">
        <v>205</v>
      </c>
      <c r="B188" s="74">
        <v>11</v>
      </c>
      <c r="C188" s="75">
        <f>2473.8/1000</f>
        <v>2.4738000000000002</v>
      </c>
      <c r="D188" s="76">
        <f ca="1">IFERROR(__xludf.DUMMYFUNCTION("$C182*IMPORTRANGE(""https://docs.google.com/spreadsheets/d/1xsp01RMmkav9iTy39Zaj_7tE9677EGlOJ14KU9TZn7I/"",""1985-2003!H3773"")"),2.06661252)</f>
        <v>2.0666125200000001</v>
      </c>
      <c r="E188" s="76">
        <f ca="1">IFERROR(__xludf.DUMMYFUNCTION("$C182*IMPORTRANGE(""https://docs.google.com/spreadsheets/d/1xsp01RMmkav9iTy39Zaj_7tE9677EGlOJ14KU9TZn7I/"",""1985-2003!T3773"")"),1.45694451)</f>
        <v>1.45694451</v>
      </c>
      <c r="F188" s="76">
        <f ca="1">IFERROR(__xludf.DUMMYFUNCTION("$C182*IMPORTRANGE(""https://docs.google.com/spreadsheets/d/1xsp01RMmkav9iTy39Zaj_7tE9677EGlOJ14KU9TZn7I/"",""1985-2003!AC3773"")"),291.945507)</f>
        <v>291.94550700000002</v>
      </c>
      <c r="G188" s="73" t="s">
        <v>8</v>
      </c>
      <c r="H188" s="121"/>
      <c r="I188" s="121"/>
      <c r="J188" s="121"/>
      <c r="K188" s="2"/>
      <c r="L188" s="3"/>
      <c r="M188" s="122"/>
      <c r="N188" s="122"/>
      <c r="O188" s="122"/>
      <c r="P188" s="122"/>
      <c r="Q188" s="2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spans="1:26" ht="13.2" x14ac:dyDescent="0.25">
      <c r="A189" s="61" t="s">
        <v>206</v>
      </c>
      <c r="B189" s="62">
        <v>8</v>
      </c>
      <c r="C189" s="63">
        <f>1303.1/1000</f>
        <v>1.3030999999999999</v>
      </c>
      <c r="D189" s="72">
        <f ca="1">IFERROR(__xludf.DUMMYFUNCTION("$C183*IMPORTRANGE(""https://docs.google.com/spreadsheets/d/1xsp01RMmkav9iTy39Zaj_7tE9677EGlOJ14KU9TZn7I/"",""1985-2003!H3795"")"),1.11845073)</f>
        <v>1.1184507299999999</v>
      </c>
      <c r="E189" s="72">
        <f ca="1">IFERROR(__xludf.DUMMYFUNCTION("$C183*IMPORTRANGE(""https://docs.google.com/spreadsheets/d/1xsp01RMmkav9iTy39Zaj_7tE9677EGlOJ14KU9TZn7I/"",""1985-2003!T3795"")"),0.784466199999999)</f>
        <v>0.784466199999999</v>
      </c>
      <c r="F189" s="72">
        <f ca="1">IFERROR(__xludf.DUMMYFUNCTION("$C183*IMPORTRANGE(""https://docs.google.com/spreadsheets/d/1xsp01RMmkav9iTy39Zaj_7tE9677EGlOJ14KU9TZn7I/"",""1985-2003!AC3795"")"),157.831472)</f>
        <v>157.83147199999999</v>
      </c>
      <c r="G189" s="61" t="s">
        <v>8</v>
      </c>
      <c r="H189" s="121"/>
      <c r="I189" s="121"/>
      <c r="J189" s="121"/>
      <c r="K189" s="2"/>
      <c r="L189" s="3"/>
      <c r="M189" s="122"/>
      <c r="N189" s="122"/>
      <c r="O189" s="122"/>
      <c r="P189" s="122"/>
      <c r="Q189" s="2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spans="1:26" ht="13.2" x14ac:dyDescent="0.25">
      <c r="A190" s="77" t="s">
        <v>207</v>
      </c>
      <c r="B190" s="78">
        <v>28</v>
      </c>
      <c r="C190" s="79">
        <f>1592.8/1000</f>
        <v>1.5928</v>
      </c>
      <c r="D190" s="80">
        <f ca="1">IFERROR(__xludf.DUMMYFUNCTION("$C184*IMPORTRANGE(""https://docs.google.com/spreadsheets/d/1xsp01RMmkav9iTy39Zaj_7tE9677EGlOJ14KU9TZn7I/"",""1985-2003!H3819"")"),1.35881768)</f>
        <v>1.35881768</v>
      </c>
      <c r="E190" s="80">
        <f ca="1">IFERROR(__xludf.DUMMYFUNCTION("$C184*IMPORTRANGE(""https://docs.google.com/spreadsheets/d/1xsp01RMmkav9iTy39Zaj_7tE9677EGlOJ14KU9TZn7I/"",""1985-2003!T3819"")"),0.95217584)</f>
        <v>0.95217584</v>
      </c>
      <c r="F190" s="80">
        <f ca="1">IFERROR(__xludf.DUMMYFUNCTION("$C184*IMPORTRANGE(""https://docs.google.com/spreadsheets/d/1xsp01RMmkav9iTy39Zaj_7tE9677EGlOJ14KU9TZn7I/"",""1985-2003!AC3819"")"),185.672696)</f>
        <v>185.672696</v>
      </c>
      <c r="G190" s="77" t="s">
        <v>8</v>
      </c>
      <c r="H190" s="121"/>
      <c r="I190" s="121"/>
      <c r="J190" s="121"/>
      <c r="K190" s="2"/>
      <c r="L190" s="3"/>
      <c r="M190" s="122"/>
      <c r="N190" s="122"/>
      <c r="O190" s="122"/>
      <c r="P190" s="122"/>
      <c r="Q190" s="2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spans="1:26" ht="13.2" x14ac:dyDescent="0.25">
      <c r="A191" s="58">
        <v>1999</v>
      </c>
      <c r="B191" s="59"/>
      <c r="C191" s="60"/>
      <c r="D191" s="60"/>
      <c r="E191" s="60"/>
      <c r="F191" s="60"/>
      <c r="G191" s="58"/>
      <c r="H191" s="121"/>
      <c r="I191" s="121"/>
      <c r="J191" s="121"/>
      <c r="K191" s="2"/>
      <c r="L191" s="3"/>
      <c r="M191" s="122"/>
      <c r="N191" s="122"/>
      <c r="O191" s="122"/>
      <c r="P191" s="122"/>
      <c r="Q191" s="2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spans="1:26" ht="13.2" x14ac:dyDescent="0.25">
      <c r="A192" s="61" t="s">
        <v>208</v>
      </c>
      <c r="B192" s="62">
        <v>12</v>
      </c>
      <c r="C192" s="63">
        <f>250.7/1000</f>
        <v>0.25069999999999998</v>
      </c>
      <c r="D192" s="72">
        <f ca="1">IFERROR(__xludf.DUMMYFUNCTION("$C186*IMPORTRANGE(""https://docs.google.com/spreadsheets/d/1xsp01RMmkav9iTy39Zaj_7tE9677EGlOJ14KU9TZn7I/"",""1985-2003!H3841"")"),0.216441845)</f>
        <v>0.21644184499999999</v>
      </c>
      <c r="E192" s="72">
        <f ca="1">IFERROR(__xludf.DUMMYFUNCTION("$C186*IMPORTRANGE(""https://docs.google.com/spreadsheets/d/1xsp01RMmkav9iTy39Zaj_7tE9677EGlOJ14KU9TZn7I/"",""1985-2003!T3841"")"),0.151798849999999)</f>
        <v>0.15179884999999901</v>
      </c>
      <c r="F192" s="72">
        <f ca="1">IFERROR(__xludf.DUMMYFUNCTION("$C186*IMPORTRANGE(""https://docs.google.com/spreadsheets/d/1xsp01RMmkav9iTy39Zaj_7tE9677EGlOJ14KU9TZn7I/"",""1985-2003!AC3841"")"),28.4632244999999)</f>
        <v>28.4632244999999</v>
      </c>
      <c r="G192" s="61" t="s">
        <v>8</v>
      </c>
      <c r="H192" s="121"/>
      <c r="I192" s="121"/>
      <c r="J192" s="121"/>
      <c r="K192" s="2"/>
      <c r="L192" s="3"/>
      <c r="M192" s="122"/>
      <c r="N192" s="122"/>
      <c r="O192" s="122"/>
      <c r="P192" s="122"/>
      <c r="Q192" s="2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spans="1:26" ht="13.2" x14ac:dyDescent="0.25">
      <c r="A193" s="73" t="s">
        <v>209</v>
      </c>
      <c r="B193" s="74">
        <v>11</v>
      </c>
      <c r="C193" s="75">
        <f>131.6/1000</f>
        <v>0.13159999999999999</v>
      </c>
      <c r="D193" s="76">
        <f ca="1">IFERROR(__xludf.DUMMYFUNCTION("$C187*IMPORTRANGE(""https://docs.google.com/spreadsheets/d/1xsp01RMmkav9iTy39Zaj_7tE9677EGlOJ14KU9TZn7I/"",""1985-2003!H3862"")"),0.11713058)</f>
        <v>0.11713058</v>
      </c>
      <c r="E193" s="76">
        <f ca="1">IFERROR(__xludf.DUMMYFUNCTION("$C187*IMPORTRANGE(""https://docs.google.com/spreadsheets/d/1xsp01RMmkav9iTy39Zaj_7tE9677EGlOJ14KU9TZn7I/"",""1985-2003!T3862"")"),0.08061816)</f>
        <v>8.0618159999999994E-2</v>
      </c>
      <c r="F193" s="76">
        <f ca="1">IFERROR(__xludf.DUMMYFUNCTION("$C187*IMPORTRANGE(""https://docs.google.com/spreadsheets/d/1xsp01RMmkav9iTy39Zaj_7tE9677EGlOJ14KU9TZn7I/"",""1985-2003!AC3862"")"),15.1688739999999)</f>
        <v>15.168873999999899</v>
      </c>
      <c r="G193" s="73" t="s">
        <v>8</v>
      </c>
      <c r="H193" s="121"/>
      <c r="I193" s="121"/>
      <c r="J193" s="121"/>
      <c r="K193" s="2"/>
      <c r="L193" s="3"/>
      <c r="M193" s="122"/>
      <c r="N193" s="122"/>
      <c r="O193" s="122"/>
      <c r="P193" s="122"/>
      <c r="Q193" s="2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spans="1:26" ht="13.2" x14ac:dyDescent="0.25">
      <c r="A194" s="61" t="s">
        <v>210</v>
      </c>
      <c r="B194" s="62">
        <v>17</v>
      </c>
      <c r="C194" s="63">
        <f>215.3/1000</f>
        <v>0.21530000000000002</v>
      </c>
      <c r="D194" s="72">
        <f ca="1">IFERROR(__xludf.DUMMYFUNCTION("$C188*IMPORTRANGE(""https://docs.google.com/spreadsheets/d/1xsp01RMmkav9iTy39Zaj_7tE9677EGlOJ14KU9TZn7I/"",""1985-2003!H3886"")"),0.19770999)</f>
        <v>0.19770999</v>
      </c>
      <c r="E194" s="72">
        <f ca="1">IFERROR(__xludf.DUMMYFUNCTION("$C188*IMPORTRANGE(""https://docs.google.com/spreadsheets/d/1xsp01RMmkav9iTy39Zaj_7tE9677EGlOJ14KU9TZn7I/"",""1985-2003!T3886"")"),0.13273245)</f>
        <v>0.13273245</v>
      </c>
      <c r="F194" s="72">
        <f ca="1">IFERROR(__xludf.DUMMYFUNCTION("$C188*IMPORTRANGE(""https://docs.google.com/spreadsheets/d/1xsp01RMmkav9iTy39Zaj_7tE9677EGlOJ14KU9TZn7I/"",""1985-2003!AC3886"")"),25.652995)</f>
        <v>25.652995000000001</v>
      </c>
      <c r="G194" s="61" t="s">
        <v>8</v>
      </c>
      <c r="H194" s="121"/>
      <c r="I194" s="121"/>
      <c r="J194" s="121"/>
      <c r="K194" s="2"/>
      <c r="L194" s="3"/>
      <c r="M194" s="122"/>
      <c r="N194" s="122"/>
      <c r="O194" s="122"/>
      <c r="P194" s="122"/>
      <c r="Q194" s="2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spans="1:26" ht="13.2" x14ac:dyDescent="0.25">
      <c r="A195" s="73" t="s">
        <v>211</v>
      </c>
      <c r="B195" s="74">
        <v>19</v>
      </c>
      <c r="C195" s="75">
        <f>988.6/1000</f>
        <v>0.98860000000000003</v>
      </c>
      <c r="D195" s="76">
        <f ca="1">IFERROR(__xludf.DUMMYFUNCTION("$C189*IMPORTRANGE(""https://docs.google.com/spreadsheets/d/1xsp01RMmkav9iTy39Zaj_7tE9677EGlOJ14KU9TZn7I/"",""1985-2003!H3909"")"),0.9233524)</f>
        <v>0.92335239999999996</v>
      </c>
      <c r="E195" s="76">
        <f ca="1">IFERROR(__xludf.DUMMYFUNCTION("$C189*IMPORTRANGE(""https://docs.google.com/spreadsheets/d/1xsp01RMmkav9iTy39Zaj_7tE9677EGlOJ14KU9TZn7I/"",""1985-2003!T3909"")"),0.61337687)</f>
        <v>0.61337686999999996</v>
      </c>
      <c r="F195" s="76">
        <f ca="1">IFERROR(__xludf.DUMMYFUNCTION("$C189*IMPORTRANGE(""https://docs.google.com/spreadsheets/d/1xsp01RMmkav9iTy39Zaj_7tE9677EGlOJ14KU9TZn7I/"",""1985-2003!AC3909"")"),118.251389)</f>
        <v>118.251389</v>
      </c>
      <c r="G195" s="73" t="s">
        <v>8</v>
      </c>
      <c r="H195" s="121"/>
      <c r="I195" s="121"/>
      <c r="J195" s="121"/>
      <c r="K195" s="2"/>
      <c r="L195" s="3"/>
      <c r="M195" s="122"/>
      <c r="N195" s="122"/>
      <c r="O195" s="122"/>
      <c r="P195" s="122"/>
      <c r="Q195" s="2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spans="1:26" ht="13.2" x14ac:dyDescent="0.25">
      <c r="A196" s="61" t="s">
        <v>212</v>
      </c>
      <c r="B196" s="62">
        <v>10</v>
      </c>
      <c r="C196" s="63">
        <f>884.9/1000</f>
        <v>0.88490000000000002</v>
      </c>
      <c r="D196" s="72">
        <f ca="1">IFERROR(__xludf.DUMMYFUNCTION("$C190*IMPORTRANGE(""https://docs.google.com/spreadsheets/d/1xsp01RMmkav9iTy39Zaj_7tE9677EGlOJ14KU9TZn7I/"",""1985-2003!H3931"")"),0.83083261)</f>
        <v>0.83083260999999997</v>
      </c>
      <c r="E196" s="72">
        <f ca="1">IFERROR(__xludf.DUMMYFUNCTION("$C190*IMPORTRANGE(""https://docs.google.com/spreadsheets/d/1xsp01RMmkav9iTy39Zaj_7tE9677EGlOJ14KU9TZn7I/"",""1985-2003!T3931"")"),0.54669122)</f>
        <v>0.54669122000000003</v>
      </c>
      <c r="F196" s="72">
        <f ca="1">IFERROR(__xludf.DUMMYFUNCTION("$C190*IMPORTRANGE(""https://docs.google.com/spreadsheets/d/1xsp01RMmkav9iTy39Zaj_7tE9677EGlOJ14KU9TZn7I/"",""1985-2003!AC3931"")"),107.533048)</f>
        <v>107.53304799999999</v>
      </c>
      <c r="G196" s="61" t="s">
        <v>8</v>
      </c>
      <c r="H196" s="121"/>
      <c r="I196" s="121"/>
      <c r="J196" s="121"/>
      <c r="K196" s="2"/>
      <c r="L196" s="3"/>
      <c r="M196" s="122"/>
      <c r="N196" s="122"/>
      <c r="O196" s="122"/>
      <c r="P196" s="122"/>
      <c r="Q196" s="2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spans="1:26" ht="13.2" x14ac:dyDescent="0.25">
      <c r="A197" s="73" t="s">
        <v>213</v>
      </c>
      <c r="B197" s="74">
        <v>11</v>
      </c>
      <c r="C197" s="75">
        <f>1333.9/1000</f>
        <v>1.3339000000000001</v>
      </c>
      <c r="D197" s="76">
        <f ca="1">IFERROR(__xludf.DUMMYFUNCTION("$C191*IMPORTRANGE(""https://docs.google.com/spreadsheets/d/1xsp01RMmkav9iTy39Zaj_7tE9677EGlOJ14KU9TZn7I/"",""1985-2003!H3954"")"),1.28654655)</f>
        <v>1.28654655</v>
      </c>
      <c r="E197" s="76">
        <f ca="1">IFERROR(__xludf.DUMMYFUNCTION("$C191*IMPORTRANGE(""https://docs.google.com/spreadsheets/d/1xsp01RMmkav9iTy39Zaj_7tE9677EGlOJ14KU9TZn7I/"",""1985-2003!T3954"")"),0.83662208)</f>
        <v>0.83662208000000005</v>
      </c>
      <c r="F197" s="76">
        <f ca="1">IFERROR(__xludf.DUMMYFUNCTION("$C191*IMPORTRANGE(""https://docs.google.com/spreadsheets/d/1xsp01RMmkav9iTy39Zaj_7tE9677EGlOJ14KU9TZn7I/"",""1985-2003!AC3954"")"),161.2618405)</f>
        <v>161.26184050000001</v>
      </c>
      <c r="G197" s="73" t="s">
        <v>8</v>
      </c>
      <c r="H197" s="121"/>
      <c r="I197" s="121"/>
      <c r="J197" s="121"/>
      <c r="K197" s="2"/>
      <c r="L197" s="3"/>
      <c r="M197" s="122"/>
      <c r="N197" s="122"/>
      <c r="O197" s="122"/>
      <c r="P197" s="122"/>
      <c r="Q197" s="2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spans="1:26" ht="13.2" x14ac:dyDescent="0.25">
      <c r="A198" s="61" t="s">
        <v>214</v>
      </c>
      <c r="B198" s="62">
        <v>11</v>
      </c>
      <c r="C198" s="63">
        <f>6889.3/1000</f>
        <v>6.8893000000000004</v>
      </c>
      <c r="D198" s="72">
        <f ca="1">IFERROR(__xludf.DUMMYFUNCTION("$C192*IMPORTRANGE(""https://docs.google.com/spreadsheets/d/1xsp01RMmkav9iTy39Zaj_7tE9677EGlOJ14KU9TZn7I/"",""1985-2003!H3977"")"),6.725679125)</f>
        <v>6.7256791250000001</v>
      </c>
      <c r="E198" s="72">
        <f ca="1">IFERROR(__xludf.DUMMYFUNCTION("$C192*IMPORTRANGE(""https://docs.google.com/spreadsheets/d/1xsp01RMmkav9iTy39Zaj_7tE9677EGlOJ14KU9TZn7I/"",""1985-2003!T3977"")"),4.37952801)</f>
        <v>4.3795280099999996</v>
      </c>
      <c r="F198" s="72">
        <f ca="1">IFERROR(__xludf.DUMMYFUNCTION("$C192*IMPORTRANGE(""https://docs.google.com/spreadsheets/d/1xsp01RMmkav9iTy39Zaj_7tE9677EGlOJ14KU9TZn7I/"",""1985-2003!AC3977"")"),831.9863145)</f>
        <v>831.98631450000005</v>
      </c>
      <c r="G198" s="61" t="s">
        <v>8</v>
      </c>
      <c r="H198" s="121"/>
      <c r="I198" s="121"/>
      <c r="J198" s="121"/>
      <c r="K198" s="2"/>
      <c r="L198" s="3"/>
      <c r="M198" s="122"/>
      <c r="N198" s="122"/>
      <c r="O198" s="122"/>
      <c r="P198" s="122"/>
      <c r="Q198" s="2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spans="1:26" ht="13.2" x14ac:dyDescent="0.25">
      <c r="A199" s="73" t="s">
        <v>215</v>
      </c>
      <c r="B199" s="74">
        <v>16</v>
      </c>
      <c r="C199" s="75">
        <f>447.2/1000</f>
        <v>0.44719999999999999</v>
      </c>
      <c r="D199" s="76">
        <f ca="1">IFERROR(__xludf.DUMMYFUNCTION("$C193*IMPORTRANGE(""https://docs.google.com/spreadsheets/d/1xsp01RMmkav9iTy39Zaj_7tE9677EGlOJ14KU9TZn7I/"",""1985-2003!H4000"")"),0.4213742)</f>
        <v>0.42137419999999998</v>
      </c>
      <c r="E199" s="76">
        <f ca="1">IFERROR(__xludf.DUMMYFUNCTION("$C193*IMPORTRANGE(""https://docs.google.com/spreadsheets/d/1xsp01RMmkav9iTy39Zaj_7tE9677EGlOJ14KU9TZn7I/"",""1985-2003!T4000"")"),0.27847144)</f>
        <v>0.27847144000000001</v>
      </c>
      <c r="F199" s="76">
        <f ca="1">IFERROR(__xludf.DUMMYFUNCTION("$C193*IMPORTRANGE(""https://docs.google.com/spreadsheets/d/1xsp01RMmkav9iTy39Zaj_7tE9677EGlOJ14KU9TZn7I/"",""1985-2003!AC4000"")"),51.0255199999999)</f>
        <v>51.025519999999901</v>
      </c>
      <c r="G199" s="73" t="s">
        <v>8</v>
      </c>
      <c r="H199" s="121"/>
      <c r="I199" s="121"/>
      <c r="J199" s="121"/>
      <c r="K199" s="2"/>
      <c r="L199" s="3"/>
      <c r="M199" s="122"/>
      <c r="N199" s="122"/>
      <c r="O199" s="122"/>
      <c r="P199" s="122"/>
      <c r="Q199" s="2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spans="1:26" ht="13.2" x14ac:dyDescent="0.25">
      <c r="A200" s="61" t="s">
        <v>216</v>
      </c>
      <c r="B200" s="62">
        <v>12</v>
      </c>
      <c r="C200" s="63">
        <f>532.7/1000</f>
        <v>0.53270000000000006</v>
      </c>
      <c r="D200" s="72">
        <f ca="1">IFERROR(__xludf.DUMMYFUNCTION("$C194*IMPORTRANGE(""https://docs.google.com/spreadsheets/d/1xsp01RMmkav9iTy39Zaj_7tE9677EGlOJ14KU9TZn7I/"",""1985-2003!H4023"")"),0.50739675)</f>
        <v>0.50739674999999995</v>
      </c>
      <c r="E200" s="72">
        <f ca="1">IFERROR(__xludf.DUMMYFUNCTION("$C194*IMPORTRANGE(""https://docs.google.com/spreadsheets/d/1xsp01RMmkav9iTy39Zaj_7tE9677EGlOJ14KU9TZn7I/"",""1985-2003!T4023"")"),0.32835628)</f>
        <v>0.32835628</v>
      </c>
      <c r="F200" s="72">
        <f ca="1">IFERROR(__xludf.DUMMYFUNCTION("$C194*IMPORTRANGE(""https://docs.google.com/spreadsheets/d/1xsp01RMmkav9iTy39Zaj_7tE9677EGlOJ14KU9TZn7I/"",""1985-2003!AC4023"")"),56.7725025)</f>
        <v>56.772502500000002</v>
      </c>
      <c r="G200" s="61" t="s">
        <v>8</v>
      </c>
      <c r="H200" s="121"/>
      <c r="I200" s="121"/>
      <c r="J200" s="121"/>
      <c r="K200" s="2"/>
      <c r="L200" s="3"/>
      <c r="M200" s="122"/>
      <c r="N200" s="122"/>
      <c r="O200" s="122"/>
      <c r="P200" s="122"/>
      <c r="Q200" s="2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spans="1:26" ht="13.2" x14ac:dyDescent="0.25">
      <c r="A201" s="73" t="s">
        <v>217</v>
      </c>
      <c r="B201" s="74">
        <v>15</v>
      </c>
      <c r="C201" s="75">
        <f>185.6/1000</f>
        <v>0.18559999999999999</v>
      </c>
      <c r="D201" s="76">
        <f ca="1">IFERROR(__xludf.DUMMYFUNCTION("$C195*IMPORTRANGE(""https://docs.google.com/spreadsheets/d/1xsp01RMmkav9iTy39Zaj_7tE9677EGlOJ14KU9TZn7I/"",""1985-2003!H4045"")"),0.173109119999999)</f>
        <v>0.17310911999999901</v>
      </c>
      <c r="E201" s="76">
        <f ca="1">IFERROR(__xludf.DUMMYFUNCTION("$C195*IMPORTRANGE(""https://docs.google.com/spreadsheets/d/1xsp01RMmkav9iTy39Zaj_7tE9677EGlOJ14KU9TZn7I/"",""1985-2003!T4045"")"),0.11217664)</f>
        <v>0.11217663999999999</v>
      </c>
      <c r="F201" s="76">
        <f ca="1">IFERROR(__xludf.DUMMYFUNCTION("$C195*IMPORTRANGE(""https://docs.google.com/spreadsheets/d/1xsp01RMmkav9iTy39Zaj_7tE9677EGlOJ14KU9TZn7I/"",""1985-2003!AC4045"")"),19.668032)</f>
        <v>19.668032</v>
      </c>
      <c r="G201" s="73" t="s">
        <v>8</v>
      </c>
      <c r="H201" s="121"/>
      <c r="I201" s="121"/>
      <c r="J201" s="121"/>
      <c r="K201" s="2"/>
      <c r="L201" s="3"/>
      <c r="M201" s="122"/>
      <c r="N201" s="122"/>
      <c r="O201" s="122"/>
      <c r="P201" s="122"/>
      <c r="Q201" s="2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spans="1:26" ht="13.2" x14ac:dyDescent="0.25">
      <c r="A202" s="61" t="s">
        <v>218</v>
      </c>
      <c r="B202" s="62">
        <v>14</v>
      </c>
      <c r="C202" s="63">
        <f>2792.1/1000</f>
        <v>2.7921</v>
      </c>
      <c r="D202" s="72">
        <f ca="1">IFERROR(__xludf.DUMMYFUNCTION("$C196*IMPORTRANGE(""https://docs.google.com/spreadsheets/d/1xsp01RMmkav9iTy39Zaj_7tE9677EGlOJ14KU9TZn7I/"",""1985-2003!H4068"")"),2.704009245)</f>
        <v>2.704009245</v>
      </c>
      <c r="E202" s="72">
        <f ca="1">IFERROR(__xludf.DUMMYFUNCTION("$C196*IMPORTRANGE(""https://docs.google.com/spreadsheets/d/1xsp01RMmkav9iTy39Zaj_7tE9677EGlOJ14KU9TZn7I/"",""1985-2003!T4068"")"),1.722865305)</f>
        <v>1.722865305</v>
      </c>
      <c r="F202" s="72">
        <f ca="1">IFERROR(__xludf.DUMMYFUNCTION("$C196*IMPORTRANGE(""https://docs.google.com/spreadsheets/d/1xsp01RMmkav9iTy39Zaj_7tE9677EGlOJ14KU9TZn7I/"",""1985-2003!AC4068"")"),292.695843)</f>
        <v>292.69584300000002</v>
      </c>
      <c r="G202" s="61" t="s">
        <v>8</v>
      </c>
      <c r="H202" s="121"/>
      <c r="I202" s="121"/>
      <c r="J202" s="121"/>
      <c r="K202" s="2"/>
      <c r="L202" s="3"/>
      <c r="M202" s="122"/>
      <c r="N202" s="122"/>
      <c r="O202" s="122"/>
      <c r="P202" s="122"/>
      <c r="Q202" s="2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spans="1:26" ht="13.2" x14ac:dyDescent="0.25">
      <c r="A203" s="77" t="s">
        <v>219</v>
      </c>
      <c r="B203" s="78">
        <v>22</v>
      </c>
      <c r="C203" s="79">
        <f>617.2/1000</f>
        <v>0.61720000000000008</v>
      </c>
      <c r="D203" s="80">
        <f ca="1">IFERROR(__xludf.DUMMYFUNCTION("$C197*IMPORTRANGE(""https://docs.google.com/spreadsheets/d/1xsp01RMmkav9iTy39Zaj_7tE9677EGlOJ14KU9TZn7I/"",""1985-2003!H4092"")"),0.61121316)</f>
        <v>0.61121316000000003</v>
      </c>
      <c r="E203" s="80">
        <f ca="1">IFERROR(__xludf.DUMMYFUNCTION("$C197*IMPORTRANGE(""https://docs.google.com/spreadsheets/d/1xsp01RMmkav9iTy39Zaj_7tE9677EGlOJ14KU9TZn7I/"",""1985-2003!T4092"")"),0.38257142)</f>
        <v>0.38257142</v>
      </c>
      <c r="F203" s="80">
        <f ca="1">IFERROR(__xludf.DUMMYFUNCTION("$C197*IMPORTRANGE(""https://docs.google.com/spreadsheets/d/1xsp01RMmkav9iTy39Zaj_7tE9677EGlOJ14KU9TZn7I/"",""1985-2003!AC4092"")"),63.244484)</f>
        <v>63.244484</v>
      </c>
      <c r="G203" s="77" t="s">
        <v>8</v>
      </c>
      <c r="H203" s="121"/>
      <c r="I203" s="121"/>
      <c r="J203" s="121"/>
      <c r="K203" s="2"/>
      <c r="L203" s="3"/>
      <c r="M203" s="122"/>
      <c r="N203" s="122"/>
      <c r="O203" s="122"/>
      <c r="P203" s="122"/>
      <c r="Q203" s="2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spans="1:26" ht="13.2" x14ac:dyDescent="0.25">
      <c r="A204" s="58">
        <v>2000</v>
      </c>
      <c r="B204" s="59"/>
      <c r="C204" s="60"/>
      <c r="D204" s="60"/>
      <c r="E204" s="60"/>
      <c r="F204" s="60"/>
      <c r="G204" s="58"/>
      <c r="H204" s="121"/>
      <c r="I204" s="121"/>
      <c r="J204" s="121"/>
      <c r="K204" s="2"/>
      <c r="L204" s="3"/>
      <c r="M204" s="122"/>
      <c r="N204" s="122"/>
      <c r="O204" s="122"/>
      <c r="P204" s="122"/>
      <c r="Q204" s="2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spans="1:26" ht="13.2" x14ac:dyDescent="0.25">
      <c r="A205" s="61" t="s">
        <v>220</v>
      </c>
      <c r="B205" s="62">
        <v>11</v>
      </c>
      <c r="C205" s="63">
        <f>27435.2/1000</f>
        <v>27.435200000000002</v>
      </c>
      <c r="D205" s="72">
        <f ca="1">IFERROR(__xludf.DUMMYFUNCTION("$C199*IMPORTRANGE(""https://docs.google.com/spreadsheets/d/1xsp01RMmkav9iTy39Zaj_7tE9677EGlOJ14KU9TZn7I/"",""1985-2003!H4115"")"),27.08402944)</f>
        <v>27.084029439999998</v>
      </c>
      <c r="E205" s="72">
        <f ca="1">IFERROR(__xludf.DUMMYFUNCTION("$C199*IMPORTRANGE(""https://docs.google.com/spreadsheets/d/1xsp01RMmkav9iTy39Zaj_7tE9677EGlOJ14KU9TZn7I/"",""1985-2003!T4115"")"),16.73135672)</f>
        <v>16.731356720000001</v>
      </c>
      <c r="F205" s="72">
        <f ca="1">IFERROR(__xludf.DUMMYFUNCTION("$C199*IMPORTRANGE(""https://docs.google.com/spreadsheets/d/1xsp01RMmkav9iTy39Zaj_7tE9677EGlOJ14KU9TZn7I/"",""1985-2003!AC4115"")"),2890.572672)</f>
        <v>2890.5726719999998</v>
      </c>
      <c r="G205" s="61" t="s">
        <v>8</v>
      </c>
      <c r="H205" s="121"/>
      <c r="I205" s="121"/>
      <c r="J205" s="121"/>
      <c r="K205" s="2"/>
      <c r="L205" s="3"/>
      <c r="M205" s="122"/>
      <c r="N205" s="122"/>
      <c r="O205" s="122"/>
      <c r="P205" s="122"/>
      <c r="Q205" s="2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spans="1:26" ht="13.2" x14ac:dyDescent="0.25">
      <c r="A206" s="73" t="s">
        <v>221</v>
      </c>
      <c r="B206" s="74">
        <v>8</v>
      </c>
      <c r="C206" s="75">
        <f>575/1000</f>
        <v>0.57499999999999996</v>
      </c>
      <c r="D206" s="76">
        <f ca="1">IFERROR(__xludf.DUMMYFUNCTION("$C200*IMPORTRANGE(""https://docs.google.com/spreadsheets/d/1xsp01RMmkav9iTy39Zaj_7tE9677EGlOJ14KU9TZn7I/"",""1985-2003!H4137"")"),0.5833375)</f>
        <v>0.58333749999999995</v>
      </c>
      <c r="E206" s="76">
        <f ca="1">IFERROR(__xludf.DUMMYFUNCTION("$C200*IMPORTRANGE(""https://docs.google.com/spreadsheets/d/1xsp01RMmkav9iTy39Zaj_7tE9677EGlOJ14KU9TZn7I/"",""1985-2003!T4137"")"),0.359317499999999)</f>
        <v>0.35931749999999901</v>
      </c>
      <c r="F206" s="76">
        <f ca="1">IFERROR(__xludf.DUMMYFUNCTION("$C200*IMPORTRANGE(""https://docs.google.com/spreadsheets/d/1xsp01RMmkav9iTy39Zaj_7tE9677EGlOJ14KU9TZn7I/"",""1985-2003!AC4137"")"),62.905)</f>
        <v>62.905000000000001</v>
      </c>
      <c r="G206" s="73" t="s">
        <v>8</v>
      </c>
      <c r="H206" s="121"/>
      <c r="I206" s="121"/>
      <c r="J206" s="121"/>
      <c r="K206" s="2"/>
      <c r="L206" s="3"/>
      <c r="M206" s="122"/>
      <c r="N206" s="122"/>
      <c r="O206" s="122"/>
      <c r="P206" s="122"/>
      <c r="Q206" s="2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spans="1:26" ht="13.2" x14ac:dyDescent="0.25">
      <c r="A207" s="61" t="s">
        <v>222</v>
      </c>
      <c r="B207" s="62">
        <v>28</v>
      </c>
      <c r="C207" s="63">
        <f>2184.1/1000</f>
        <v>2.1840999999999999</v>
      </c>
      <c r="D207" s="72">
        <f ca="1">IFERROR(__xludf.DUMMYFUNCTION("$C201*IMPORTRANGE(""https://docs.google.com/spreadsheets/d/1xsp01RMmkav9iTy39Zaj_7tE9677EGlOJ14KU9TZn7I/"",""1985-2003!H4161"")"),2.26447488)</f>
        <v>2.2644748799999999</v>
      </c>
      <c r="E207" s="72">
        <f ca="1">IFERROR(__xludf.DUMMYFUNCTION("$C201*IMPORTRANGE(""https://docs.google.com/spreadsheets/d/1xsp01RMmkav9iTy39Zaj_7tE9677EGlOJ14KU9TZn7I/"",""1985-2003!T4161"")"),1.3825353)</f>
        <v>1.3825353</v>
      </c>
      <c r="F207" s="72">
        <f ca="1">IFERROR(__xludf.DUMMYFUNCTION("$C201*IMPORTRANGE(""https://docs.google.com/spreadsheets/d/1xsp01RMmkav9iTy39Zaj_7tE9677EGlOJ14KU9TZn7I/"",""1985-2003!AC4161"")"),232.934265)</f>
        <v>232.93426500000001</v>
      </c>
      <c r="G207" s="61" t="s">
        <v>8</v>
      </c>
      <c r="H207" s="121"/>
      <c r="I207" s="121"/>
      <c r="J207" s="121"/>
      <c r="K207" s="2"/>
      <c r="L207" s="3"/>
      <c r="M207" s="122"/>
      <c r="N207" s="122"/>
      <c r="O207" s="122"/>
      <c r="P207" s="122"/>
      <c r="Q207" s="2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spans="1:26" ht="13.2" x14ac:dyDescent="0.25">
      <c r="A208" s="73" t="s">
        <v>223</v>
      </c>
      <c r="B208" s="74">
        <v>10</v>
      </c>
      <c r="C208" s="75">
        <f>768.3/1000</f>
        <v>0.76829999999999998</v>
      </c>
      <c r="D208" s="76">
        <f ca="1">IFERROR(__xludf.DUMMYFUNCTION("$C202*IMPORTRANGE(""https://docs.google.com/spreadsheets/d/1xsp01RMmkav9iTy39Zaj_7tE9677EGlOJ14KU9TZn7I/"",""1985-2003!H4182"")"),0.806715)</f>
        <v>0.80671499999999996</v>
      </c>
      <c r="E208" s="76">
        <f ca="1">IFERROR(__xludf.DUMMYFUNCTION("$C202*IMPORTRANGE(""https://docs.google.com/spreadsheets/d/1xsp01RMmkav9iTy39Zaj_7tE9677EGlOJ14KU9TZn7I/"",""1985-2003!T4182"")"),0.4855656)</f>
        <v>0.48556559999999999</v>
      </c>
      <c r="F208" s="76">
        <f ca="1">IFERROR(__xludf.DUMMYFUNCTION("$C202*IMPORTRANGE(""https://docs.google.com/spreadsheets/d/1xsp01RMmkav9iTy39Zaj_7tE9677EGlOJ14KU9TZn7I/"",""1985-2003!AC4182"")"),81.2362005)</f>
        <v>81.236200499999995</v>
      </c>
      <c r="G208" s="73" t="s">
        <v>8</v>
      </c>
      <c r="H208" s="121"/>
      <c r="I208" s="121"/>
      <c r="J208" s="121"/>
      <c r="K208" s="2"/>
      <c r="L208" s="3"/>
      <c r="M208" s="122"/>
      <c r="N208" s="122"/>
      <c r="O208" s="122"/>
      <c r="P208" s="122"/>
      <c r="Q208" s="2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spans="1:26" ht="13.2" x14ac:dyDescent="0.25">
      <c r="A209" s="61" t="s">
        <v>224</v>
      </c>
      <c r="B209" s="62">
        <v>5</v>
      </c>
      <c r="C209" s="63">
        <f>32.6/1000</f>
        <v>3.2600000000000004E-2</v>
      </c>
      <c r="D209" s="72">
        <f ca="1">IFERROR(__xludf.DUMMYFUNCTION("$C203*IMPORTRANGE(""https://docs.google.com/spreadsheets/d/1xsp01RMmkav9iTy39Zaj_7tE9677EGlOJ14KU9TZn7I/"",""1985-2003!H4206"")"),0.03594476)</f>
        <v>3.5944759999999999E-2</v>
      </c>
      <c r="E209" s="72">
        <f ca="1">IFERROR(__xludf.DUMMYFUNCTION("$C203*IMPORTRANGE(""https://docs.google.com/spreadsheets/d/1xsp01RMmkav9iTy39Zaj_7tE9677EGlOJ14KU9TZn7I/"",""1985-2003!T4206"")"),0.02176376)</f>
        <v>2.176376E-2</v>
      </c>
      <c r="F209" s="72">
        <f ca="1">IFERROR(__xludf.DUMMYFUNCTION("$C203*IMPORTRANGE(""https://docs.google.com/spreadsheets/d/1xsp01RMmkav9iTy39Zaj_7tE9677EGlOJ14KU9TZn7I/"",""1985-2003!AC4206"")"),3.534492)</f>
        <v>3.5344920000000002</v>
      </c>
      <c r="G209" s="61" t="s">
        <v>8</v>
      </c>
      <c r="H209" s="121"/>
      <c r="I209" s="121"/>
      <c r="J209" s="121"/>
      <c r="K209" s="2"/>
      <c r="L209" s="3"/>
      <c r="M209" s="122"/>
      <c r="N209" s="122"/>
      <c r="O209" s="122"/>
      <c r="P209" s="122"/>
      <c r="Q209" s="2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spans="1:26" ht="13.2" x14ac:dyDescent="0.25">
      <c r="A210" s="73" t="s">
        <v>225</v>
      </c>
      <c r="B210" s="74">
        <v>20</v>
      </c>
      <c r="C210" s="75">
        <f>19364.7/1000</f>
        <v>19.364699999999999</v>
      </c>
      <c r="D210" s="76">
        <f ca="1">IFERROR(__xludf.DUMMYFUNCTION("$C204*IMPORTRANGE(""https://docs.google.com/spreadsheets/d/1xsp01RMmkav9iTy39Zaj_7tE9677EGlOJ14KU9TZn7I/"",""1985-2003!H4229"")"),20.322284415)</f>
        <v>20.322284414999999</v>
      </c>
      <c r="E210" s="76">
        <f ca="1">IFERROR(__xludf.DUMMYFUNCTION("$C204*IMPORTRANGE(""https://docs.google.com/spreadsheets/d/1xsp01RMmkav9iTy39Zaj_7tE9677EGlOJ14KU9TZn7I/"",""1985-2003!T4229"")"),12.818463165)</f>
        <v>12.818463165000001</v>
      </c>
      <c r="F210" s="76">
        <f ca="1">IFERROR(__xludf.DUMMYFUNCTION("$C204*IMPORTRANGE(""https://docs.google.com/spreadsheets/d/1xsp01RMmkav9iTy39Zaj_7tE9677EGlOJ14KU9TZn7I/"",""1985-2003!AC4229"")"),2051.883612)</f>
        <v>2051.8836120000001</v>
      </c>
      <c r="G210" s="73" t="s">
        <v>8</v>
      </c>
      <c r="H210" s="121"/>
      <c r="I210" s="121"/>
      <c r="J210" s="121"/>
      <c r="K210" s="2"/>
      <c r="L210" s="3"/>
      <c r="M210" s="122"/>
      <c r="N210" s="122"/>
      <c r="O210" s="122"/>
      <c r="P210" s="122"/>
      <c r="Q210" s="2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spans="1:26" ht="13.2" x14ac:dyDescent="0.25">
      <c r="A211" s="61" t="s">
        <v>226</v>
      </c>
      <c r="B211" s="62">
        <v>10</v>
      </c>
      <c r="C211" s="63">
        <f>11.3/1000</f>
        <v>1.1300000000000001E-2</v>
      </c>
      <c r="D211" s="72">
        <f ca="1">IFERROR(__xludf.DUMMYFUNCTION("$C205*IMPORTRANGE(""https://docs.google.com/spreadsheets/d/1xsp01RMmkav9iTy39Zaj_7tE9677EGlOJ14KU9TZn7I/"",""1985-2003!H4251"")"),0.01204241)</f>
        <v>1.204241E-2</v>
      </c>
      <c r="E211" s="72">
        <f ca="1">IFERROR(__xludf.DUMMYFUNCTION("$C205*IMPORTRANGE(""https://docs.google.com/spreadsheets/d/1xsp01RMmkav9iTy39Zaj_7tE9677EGlOJ14KU9TZn7I/"",""1985-2003!T4251"")"),0.00747947)</f>
        <v>7.4794700000000002E-3</v>
      </c>
      <c r="F211" s="72">
        <f ca="1">IFERROR(__xludf.DUMMYFUNCTION("$C205*IMPORTRANGE(""https://docs.google.com/spreadsheets/d/1xsp01RMmkav9iTy39Zaj_7tE9677EGlOJ14KU9TZn7I/"",""1985-2003!AC4251"")"),1.22153)</f>
        <v>1.22153</v>
      </c>
      <c r="G211" s="61" t="s">
        <v>8</v>
      </c>
      <c r="H211" s="121"/>
      <c r="I211" s="121"/>
      <c r="J211" s="121"/>
      <c r="K211" s="2"/>
      <c r="L211" s="3"/>
      <c r="M211" s="122"/>
      <c r="N211" s="122"/>
      <c r="O211" s="122"/>
      <c r="P211" s="122"/>
      <c r="Q211" s="2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pans="1:26" ht="13.2" x14ac:dyDescent="0.25">
      <c r="A212" s="73" t="s">
        <v>227</v>
      </c>
      <c r="B212" s="74">
        <v>19</v>
      </c>
      <c r="C212" s="75">
        <f>1561.4/1000</f>
        <v>1.5614000000000001</v>
      </c>
      <c r="D212" s="76">
        <f ca="1">IFERROR(__xludf.DUMMYFUNCTION("$C206*IMPORTRANGE(""https://docs.google.com/spreadsheets/d/1xsp01RMmkav9iTy39Zaj_7tE9677EGlOJ14KU9TZn7I/"",""1985-2003!H4275"")"),1.7300312)</f>
        <v>1.7300312</v>
      </c>
      <c r="E212" s="76">
        <f ca="1">IFERROR(__xludf.DUMMYFUNCTION("$C206*IMPORTRANGE(""https://docs.google.com/spreadsheets/d/1xsp01RMmkav9iTy39Zaj_7tE9677EGlOJ14KU9TZn7I/"",""1985-2003!T4275"")"),1.04426432)</f>
        <v>1.0442643199999999</v>
      </c>
      <c r="F212" s="76">
        <f ca="1">IFERROR(__xludf.DUMMYFUNCTION("$C206*IMPORTRANGE(""https://docs.google.com/spreadsheets/d/1xsp01RMmkav9iTy39Zaj_7tE9677EGlOJ14KU9TZn7I/"",""1985-2003!AC4275"")"),169.458742)</f>
        <v>169.458742</v>
      </c>
      <c r="G212" s="73" t="s">
        <v>8</v>
      </c>
      <c r="H212" s="121"/>
      <c r="I212" s="121"/>
      <c r="J212" s="121"/>
      <c r="K212" s="2"/>
      <c r="L212" s="3"/>
      <c r="M212" s="122"/>
      <c r="N212" s="122"/>
      <c r="O212" s="122"/>
      <c r="P212" s="122"/>
      <c r="Q212" s="2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spans="1:26" ht="13.2" x14ac:dyDescent="0.25">
      <c r="A213" s="61" t="s">
        <v>228</v>
      </c>
      <c r="B213" s="62">
        <v>19</v>
      </c>
      <c r="C213" s="63">
        <f>2529.7/1000</f>
        <v>2.5296999999999996</v>
      </c>
      <c r="D213" s="72">
        <f ca="1">IFERROR(__xludf.DUMMYFUNCTION("$C207*IMPORTRANGE(""https://docs.google.com/spreadsheets/d/1xsp01RMmkav9iTy39Zaj_7tE9677EGlOJ14KU9TZn7I/"",""1985-2003!H4297"")"),2.90789014999999)</f>
        <v>2.9078901499999898</v>
      </c>
      <c r="E213" s="72">
        <f ca="1">IFERROR(__xludf.DUMMYFUNCTION("$C207*IMPORTRANGE(""https://docs.google.com/spreadsheets/d/1xsp01RMmkav9iTy39Zaj_7tE9677EGlOJ14KU9TZn7I/"",""1985-2003!T4297"")"),1.75965931999999)</f>
        <v>1.7596593199999899</v>
      </c>
      <c r="F213" s="72">
        <f ca="1">IFERROR(__xludf.DUMMYFUNCTION("$C207*IMPORTRANGE(""https://docs.google.com/spreadsheets/d/1xsp01RMmkav9iTy39Zaj_7tE9677EGlOJ14KU9TZn7I/"",""1985-2003!AC4297"")"),270.450226999999)</f>
        <v>270.45022699999902</v>
      </c>
      <c r="G213" s="61" t="s">
        <v>8</v>
      </c>
      <c r="H213" s="121"/>
      <c r="I213" s="121"/>
      <c r="J213" s="121"/>
      <c r="K213" s="2"/>
      <c r="L213" s="3"/>
      <c r="M213" s="122"/>
      <c r="N213" s="122"/>
      <c r="O213" s="122"/>
      <c r="P213" s="122"/>
      <c r="Q213" s="2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spans="1:26" ht="13.2" x14ac:dyDescent="0.25">
      <c r="A214" s="73" t="s">
        <v>229</v>
      </c>
      <c r="B214" s="74">
        <v>12</v>
      </c>
      <c r="C214" s="75">
        <f>509.4/1000</f>
        <v>0.50939999999999996</v>
      </c>
      <c r="D214" s="76">
        <f ca="1">IFERROR(__xludf.DUMMYFUNCTION("$C208*IMPORTRANGE(""https://docs.google.com/spreadsheets/d/1xsp01RMmkav9iTy39Zaj_7tE9677EGlOJ14KU9TZn7I/"",""1985-2003!H4320"")"),0.59785731)</f>
        <v>0.59785730999999998</v>
      </c>
      <c r="E214" s="76">
        <f ca="1">IFERROR(__xludf.DUMMYFUNCTION("$C208*IMPORTRANGE(""https://docs.google.com/spreadsheets/d/1xsp01RMmkav9iTy39Zaj_7tE9677EGlOJ14KU9TZn7I/"",""1985-2003!T4320"")"),0.351231299999999)</f>
        <v>0.35123129999999902</v>
      </c>
      <c r="F214" s="76">
        <f ca="1">IFERROR(__xludf.DUMMYFUNCTION("$C208*IMPORTRANGE(""https://docs.google.com/spreadsheets/d/1xsp01RMmkav9iTy39Zaj_7tE9677EGlOJ14KU9TZn7I/"",""1985-2003!AC4320"")"),55.203678)</f>
        <v>55.203677999999996</v>
      </c>
      <c r="G214" s="73" t="s">
        <v>8</v>
      </c>
      <c r="H214" s="121"/>
      <c r="I214" s="121"/>
      <c r="J214" s="121"/>
      <c r="K214" s="2"/>
      <c r="L214" s="3"/>
      <c r="M214" s="122"/>
      <c r="N214" s="122"/>
      <c r="O214" s="122"/>
      <c r="P214" s="122"/>
      <c r="Q214" s="2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spans="1:26" ht="13.2" x14ac:dyDescent="0.25">
      <c r="A215" s="61" t="s">
        <v>230</v>
      </c>
      <c r="B215" s="62">
        <v>8</v>
      </c>
      <c r="C215" s="63">
        <f>149/1000</f>
        <v>0.14899999999999999</v>
      </c>
      <c r="D215" s="72">
        <f ca="1">IFERROR(__xludf.DUMMYFUNCTION("$C209*IMPORTRANGE(""https://docs.google.com/spreadsheets/d/1xsp01RMmkav9iTy39Zaj_7tE9677EGlOJ14KU9TZn7I/"",""1985-2003!H4343"")"),0.173741449999999)</f>
        <v>0.17374144999999899</v>
      </c>
      <c r="E215" s="72">
        <f ca="1">IFERROR(__xludf.DUMMYFUNCTION("$C209*IMPORTRANGE(""https://docs.google.com/spreadsheets/d/1xsp01RMmkav9iTy39Zaj_7tE9677EGlOJ14KU9TZn7I/"",""1985-2003!T4343"")"),0.10454585)</f>
        <v>0.10454585</v>
      </c>
      <c r="F215" s="72">
        <f ca="1">IFERROR(__xludf.DUMMYFUNCTION("$C209*IMPORTRANGE(""https://docs.google.com/spreadsheets/d/1xsp01RMmkav9iTy39Zaj_7tE9677EGlOJ14KU9TZn7I/"",""1985-2003!AC4343"")"),16.220885)</f>
        <v>16.220884999999999</v>
      </c>
      <c r="G215" s="61" t="s">
        <v>8</v>
      </c>
      <c r="H215" s="121"/>
      <c r="I215" s="121"/>
      <c r="J215" s="121"/>
      <c r="K215" s="2"/>
      <c r="L215" s="3"/>
      <c r="M215" s="122"/>
      <c r="N215" s="122"/>
      <c r="O215" s="122"/>
      <c r="P215" s="122"/>
      <c r="Q215" s="2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spans="1:26" ht="13.2" x14ac:dyDescent="0.25">
      <c r="A216" s="77" t="s">
        <v>231</v>
      </c>
      <c r="B216" s="78">
        <v>12</v>
      </c>
      <c r="C216" s="79">
        <f>331.2/1000</f>
        <v>0.33119999999999999</v>
      </c>
      <c r="D216" s="80">
        <f ca="1">IFERROR(__xludf.DUMMYFUNCTION("$C210*IMPORTRANGE(""https://docs.google.com/spreadsheets/d/1xsp01RMmkav9iTy39Zaj_7tE9677EGlOJ14KU9TZn7I/"",""1985-2003!H4365"")"),0.37057968)</f>
        <v>0.37057968000000002</v>
      </c>
      <c r="E216" s="80">
        <f ca="1">IFERROR(__xludf.DUMMYFUNCTION("$C210*IMPORTRANGE(""https://docs.google.com/spreadsheets/d/1xsp01RMmkav9iTy39Zaj_7tE9677EGlOJ14KU9TZn7I/"",""1985-2003!T4365"")"),0.2248848)</f>
        <v>0.2248848</v>
      </c>
      <c r="F216" s="80">
        <f ca="1">IFERROR(__xludf.DUMMYFUNCTION("$C210*IMPORTRANGE(""https://docs.google.com/spreadsheets/d/1xsp01RMmkav9iTy39Zaj_7tE9677EGlOJ14KU9TZn7I/"",""1985-2003!AC4365"")"),37.197072)</f>
        <v>37.197071999999999</v>
      </c>
      <c r="G216" s="77" t="s">
        <v>8</v>
      </c>
      <c r="H216" s="121"/>
      <c r="I216" s="121"/>
      <c r="J216" s="121"/>
      <c r="K216" s="2"/>
      <c r="L216" s="3"/>
      <c r="M216" s="122"/>
      <c r="N216" s="122"/>
      <c r="O216" s="122"/>
      <c r="P216" s="122"/>
      <c r="Q216" s="2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spans="1:26" ht="13.2" x14ac:dyDescent="0.25">
      <c r="A217" s="58">
        <v>2001</v>
      </c>
      <c r="B217" s="59"/>
      <c r="C217" s="60"/>
      <c r="D217" s="60"/>
      <c r="E217" s="60"/>
      <c r="F217" s="60"/>
      <c r="G217" s="58"/>
      <c r="H217" s="121"/>
      <c r="I217" s="121"/>
      <c r="J217" s="121"/>
      <c r="K217" s="2"/>
      <c r="L217" s="3"/>
      <c r="M217" s="122"/>
      <c r="N217" s="122"/>
      <c r="O217" s="122"/>
      <c r="P217" s="122"/>
      <c r="Q217" s="2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spans="1:26" ht="13.2" x14ac:dyDescent="0.25">
      <c r="A218" s="83">
        <v>45292</v>
      </c>
      <c r="B218" s="62">
        <v>31</v>
      </c>
      <c r="C218" s="63">
        <f>436.3/1000</f>
        <v>0.43630000000000002</v>
      </c>
      <c r="D218" s="72">
        <f ca="1">IFERROR(__xludf.DUMMYFUNCTION("$C212*IMPORTRANGE(""https://docs.google.com/spreadsheets/d/1xsp01RMmkav9iTy39Zaj_7tE9677EGlOJ14KU9TZn7I/"",""1985-2003!H4389"")"),0.464834019999999)</f>
        <v>0.46483401999999902</v>
      </c>
      <c r="E218" s="72">
        <f ca="1">IFERROR(__xludf.DUMMYFUNCTION("$C212*IMPORTRANGE(""https://docs.google.com/spreadsheets/d/1xsp01RMmkav9iTy39Zaj_7tE9677EGlOJ14KU9TZn7I/"",""1985-2003!T4389"")"),0.296094995)</f>
        <v>0.29609499500000003</v>
      </c>
      <c r="F218" s="72">
        <f ca="1">IFERROR(__xludf.DUMMYFUNCTION("$C212*IMPORTRANGE(""https://docs.google.com/spreadsheets/d/1xsp01RMmkav9iTy39Zaj_7tE9677EGlOJ14KU9TZn7I/"",""1985-2003!AC4389"")"),50.968566)</f>
        <v>50.968566000000003</v>
      </c>
      <c r="G218" s="61" t="s">
        <v>8</v>
      </c>
      <c r="H218" s="121"/>
      <c r="I218" s="121"/>
      <c r="J218" s="121"/>
      <c r="K218" s="2"/>
      <c r="L218" s="3"/>
      <c r="M218" s="122"/>
      <c r="N218" s="122"/>
      <c r="O218" s="122"/>
      <c r="P218" s="122"/>
      <c r="Q218" s="2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spans="1:26" ht="13.2" x14ac:dyDescent="0.25">
      <c r="A219" s="85">
        <v>45323</v>
      </c>
      <c r="B219" s="74">
        <v>22</v>
      </c>
      <c r="C219" s="75">
        <f>2034.6/1000</f>
        <v>2.0345999999999997</v>
      </c>
      <c r="D219" s="76">
        <f ca="1">IFERROR(__xludf.DUMMYFUNCTION("$C213*IMPORTRANGE(""https://docs.google.com/spreadsheets/d/1xsp01RMmkav9iTy39Zaj_7tE9677EGlOJ14KU9TZn7I/"",""1985-2003!H4410"")"),2.21191538999999)</f>
        <v>2.2119153899999899</v>
      </c>
      <c r="E219" s="76">
        <f ca="1">IFERROR(__xludf.DUMMYFUNCTION("$C213*IMPORTRANGE(""https://docs.google.com/spreadsheets/d/1xsp01RMmkav9iTy39Zaj_7tE9677EGlOJ14KU9TZn7I/"",""1985-2003!T4410"")"),1.40448437999999)</f>
        <v>1.40448437999999</v>
      </c>
      <c r="F219" s="76">
        <f ca="1">IFERROR(__xludf.DUMMYFUNCTION("$C213*IMPORTRANGE(""https://docs.google.com/spreadsheets/d/1xsp01RMmkav9iTy39Zaj_7tE9677EGlOJ14KU9TZn7I/"",""1985-2003!AC4410"")"),236.532422999999)</f>
        <v>236.532422999999</v>
      </c>
      <c r="G219" s="73" t="s">
        <v>8</v>
      </c>
      <c r="H219" s="121"/>
      <c r="I219" s="121"/>
      <c r="J219" s="121"/>
      <c r="K219" s="2"/>
      <c r="L219" s="3"/>
      <c r="M219" s="122"/>
      <c r="N219" s="122"/>
      <c r="O219" s="122"/>
      <c r="P219" s="122"/>
      <c r="Q219" s="2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spans="1:26" ht="13.2" x14ac:dyDescent="0.25">
      <c r="A220" s="83">
        <v>45352</v>
      </c>
      <c r="B220" s="62">
        <v>17</v>
      </c>
      <c r="C220" s="63">
        <f>215.7/1000</f>
        <v>0.21569999999999998</v>
      </c>
      <c r="D220" s="72">
        <f ca="1">IFERROR(__xludf.DUMMYFUNCTION("$C214*IMPORTRANGE(""https://docs.google.com/spreadsheets/d/1xsp01RMmkav9iTy39Zaj_7tE9677EGlOJ14KU9TZn7I/"",""1985-2003!H4433"")"),0.23854263)</f>
        <v>0.23854263000000001</v>
      </c>
      <c r="E220" s="72">
        <f ca="1">IFERROR(__xludf.DUMMYFUNCTION("$C214*IMPORTRANGE(""https://docs.google.com/spreadsheets/d/1xsp01RMmkav9iTy39Zaj_7tE9677EGlOJ14KU9TZn7I/"",""1985-2003!T4433"")"),0.150137985)</f>
        <v>0.150137985</v>
      </c>
      <c r="F220" s="72">
        <f ca="1">IFERROR(__xludf.DUMMYFUNCTION("$C214*IMPORTRANGE(""https://docs.google.com/spreadsheets/d/1xsp01RMmkav9iTy39Zaj_7tE9677EGlOJ14KU9TZn7I/"",""1985-2003!AC4433"")"),26.365011)</f>
        <v>26.365010999999999</v>
      </c>
      <c r="G220" s="61" t="s">
        <v>8</v>
      </c>
      <c r="H220" s="121"/>
      <c r="I220" s="121"/>
      <c r="J220" s="121"/>
      <c r="K220" s="2"/>
      <c r="L220" s="3"/>
      <c r="M220" s="122"/>
      <c r="N220" s="122"/>
      <c r="O220" s="122"/>
      <c r="P220" s="122"/>
      <c r="Q220" s="2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spans="1:26" ht="13.2" x14ac:dyDescent="0.25">
      <c r="A221" s="85">
        <v>45383</v>
      </c>
      <c r="B221" s="74">
        <v>17</v>
      </c>
      <c r="C221" s="75">
        <f>146.7/1000</f>
        <v>0.1467</v>
      </c>
      <c r="D221" s="76">
        <f ca="1">IFERROR(__xludf.DUMMYFUNCTION("$C215*IMPORTRANGE(""https://docs.google.com/spreadsheets/d/1xsp01RMmkav9iTy39Zaj_7tE9677EGlOJ14KU9TZn7I/"",""1985-2003!H4455"")"),0.16403994)</f>
        <v>0.16403994</v>
      </c>
      <c r="E221" s="76">
        <f ca="1">IFERROR(__xludf.DUMMYFUNCTION("$C215*IMPORTRANGE(""https://docs.google.com/spreadsheets/d/1xsp01RMmkav9iTy39Zaj_7tE9677EGlOJ14KU9TZn7I/"",""1985-2003!T4455"")"),0.102103199999999)</f>
        <v>0.10210319999999901</v>
      </c>
      <c r="F221" s="76">
        <f ca="1">IFERROR(__xludf.DUMMYFUNCTION("$C215*IMPORTRANGE(""https://docs.google.com/spreadsheets/d/1xsp01RMmkav9iTy39Zaj_7tE9677EGlOJ14KU9TZn7I/"",""1985-2003!AC4455"")"),18.158526)</f>
        <v>18.158525999999998</v>
      </c>
      <c r="G221" s="73" t="s">
        <v>8</v>
      </c>
      <c r="H221" s="121"/>
      <c r="I221" s="121"/>
      <c r="J221" s="121"/>
      <c r="K221" s="2"/>
      <c r="L221" s="3"/>
      <c r="M221" s="122"/>
      <c r="N221" s="122"/>
      <c r="O221" s="122"/>
      <c r="P221" s="122"/>
      <c r="Q221" s="2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spans="1:26" ht="13.2" x14ac:dyDescent="0.25">
      <c r="A222" s="84">
        <v>45413</v>
      </c>
      <c r="B222" s="62">
        <v>25</v>
      </c>
      <c r="C222" s="63">
        <f>359.4/1000</f>
        <v>0.3594</v>
      </c>
      <c r="D222" s="72">
        <f ca="1">IFERROR(__xludf.DUMMYFUNCTION("$C216*IMPORTRANGE(""https://docs.google.com/spreadsheets/d/1xsp01RMmkav9iTy39Zaj_7tE9677EGlOJ14KU9TZn7I/"",""1985-2003!H4479"")"),0.40924878)</f>
        <v>0.40924877999999998</v>
      </c>
      <c r="E222" s="72">
        <f ca="1">IFERROR(__xludf.DUMMYFUNCTION("$C216*IMPORTRANGE(""https://docs.google.com/spreadsheets/d/1xsp01RMmkav9iTy39Zaj_7tE9677EGlOJ14KU9TZn7I/"",""1985-2003!T4479"")"),0.25197534)</f>
        <v>0.25197533999999999</v>
      </c>
      <c r="F222" s="72">
        <f ca="1">IFERROR(__xludf.DUMMYFUNCTION("$C216*IMPORTRANGE(""https://docs.google.com/spreadsheets/d/1xsp01RMmkav9iTy39Zaj_7tE9677EGlOJ14KU9TZn7I/"",""1985-2003!AC4479"")"),43.627566)</f>
        <v>43.627566000000002</v>
      </c>
      <c r="G222" s="61" t="s">
        <v>8</v>
      </c>
      <c r="H222" s="121"/>
      <c r="I222" s="121"/>
      <c r="J222" s="121"/>
      <c r="K222" s="2"/>
      <c r="L222" s="3"/>
      <c r="M222" s="122"/>
      <c r="N222" s="122"/>
      <c r="O222" s="122"/>
      <c r="P222" s="122"/>
      <c r="Q222" s="2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spans="1:26" ht="13.2" x14ac:dyDescent="0.25">
      <c r="A223" s="85">
        <v>45444</v>
      </c>
      <c r="B223" s="74">
        <v>27</v>
      </c>
      <c r="C223" s="75">
        <f>11245.3/1000</f>
        <v>11.245299999999999</v>
      </c>
      <c r="D223" s="76">
        <f ca="1">IFERROR(__xludf.DUMMYFUNCTION("$C217*IMPORTRANGE(""https://docs.google.com/spreadsheets/d/1xsp01RMmkav9iTy39Zaj_7tE9677EGlOJ14KU9TZn7I/"",""1985-2003!H4501"")"),13.16487271)</f>
        <v>13.164872709999999</v>
      </c>
      <c r="E223" s="76">
        <f ca="1">IFERROR(__xludf.DUMMYFUNCTION("$C217*IMPORTRANGE(""https://docs.google.com/spreadsheets/d/1xsp01RMmkav9iTy39Zaj_7tE9677EGlOJ14KU9TZn7I/"",""1985-2003!T4501"")"),7.99990641999999)</f>
        <v>7.9999064199999896</v>
      </c>
      <c r="F223" s="76">
        <f ca="1">IFERROR(__xludf.DUMMYFUNCTION("$C217*IMPORTRANGE(""https://docs.google.com/spreadsheets/d/1xsp01RMmkav9iTy39Zaj_7tE9677EGlOJ14KU9TZn7I/"",""1985-2003!AC4501"")"),1381.035293)</f>
        <v>1381.0352929999999</v>
      </c>
      <c r="G223" s="73" t="s">
        <v>8</v>
      </c>
      <c r="H223" s="121"/>
      <c r="I223" s="121"/>
      <c r="J223" s="121"/>
      <c r="K223" s="2"/>
      <c r="L223" s="3"/>
      <c r="M223" s="122"/>
      <c r="N223" s="122"/>
      <c r="O223" s="122"/>
      <c r="P223" s="122"/>
      <c r="Q223" s="2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spans="1:26" ht="13.2" x14ac:dyDescent="0.25">
      <c r="A224" s="83">
        <v>45474</v>
      </c>
      <c r="B224" s="62">
        <v>22</v>
      </c>
      <c r="C224" s="63">
        <f>1282.1/1000</f>
        <v>1.2821</v>
      </c>
      <c r="D224" s="72">
        <f ca="1">IFERROR(__xludf.DUMMYFUNCTION("$C218*IMPORTRANGE(""https://docs.google.com/spreadsheets/d/1xsp01RMmkav9iTy39Zaj_7tE9677EGlOJ14KU9TZn7I/"",""1985-2003!H4524"")"),1.4910823)</f>
        <v>1.4910823</v>
      </c>
      <c r="E224" s="72">
        <f ca="1">IFERROR(__xludf.DUMMYFUNCTION("$C218*IMPORTRANGE(""https://docs.google.com/spreadsheets/d/1xsp01RMmkav9iTy39Zaj_7tE9677EGlOJ14KU9TZn7I/"",""1985-2003!T4524"")"),0.9064447)</f>
        <v>0.90644469999999999</v>
      </c>
      <c r="F224" s="72">
        <f ca="1">IFERROR(__xludf.DUMMYFUNCTION("$C218*IMPORTRANGE(""https://docs.google.com/spreadsheets/d/1xsp01RMmkav9iTy39Zaj_7tE9677EGlOJ14KU9TZn7I/"",""1985-2003!AC4524"")"),159.531703)</f>
        <v>159.53170299999999</v>
      </c>
      <c r="G224" s="61" t="s">
        <v>8</v>
      </c>
      <c r="H224" s="121"/>
      <c r="I224" s="121"/>
      <c r="J224" s="121"/>
      <c r="K224" s="2"/>
      <c r="L224" s="3"/>
      <c r="M224" s="122"/>
      <c r="N224" s="122"/>
      <c r="O224" s="122"/>
      <c r="P224" s="122"/>
      <c r="Q224" s="2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spans="1:26" ht="13.2" x14ac:dyDescent="0.25">
      <c r="A225" s="85">
        <v>45505</v>
      </c>
      <c r="B225" s="74">
        <v>16</v>
      </c>
      <c r="C225" s="75">
        <f>141.9/1000</f>
        <v>0.1419</v>
      </c>
      <c r="D225" s="76">
        <f ca="1">IFERROR(__xludf.DUMMYFUNCTION("$C219*IMPORTRANGE(""https://docs.google.com/spreadsheets/d/1xsp01RMmkav9iTy39Zaj_7tE9677EGlOJ14KU9TZn7I/"",""1985-2003!H4548"")"),0.15569268)</f>
        <v>0.15569268</v>
      </c>
      <c r="E225" s="76">
        <f ca="1">IFERROR(__xludf.DUMMYFUNCTION("$C219*IMPORTRANGE(""https://docs.google.com/spreadsheets/d/1xsp01RMmkav9iTy39Zaj_7tE9677EGlOJ14KU9TZn7I/"",""1985-2003!T4548"")"),0.0983225099999999)</f>
        <v>9.8322509999999905E-2</v>
      </c>
      <c r="F225" s="76">
        <f ca="1">IFERROR(__xludf.DUMMYFUNCTION("$C219*IMPORTRANGE(""https://docs.google.com/spreadsheets/d/1xsp01RMmkav9iTy39Zaj_7tE9677EGlOJ14KU9TZn7I/"",""1985-2003!AC4548"")"),17.0861789999999)</f>
        <v>17.086178999999898</v>
      </c>
      <c r="G225" s="73" t="s">
        <v>8</v>
      </c>
      <c r="H225" s="121"/>
      <c r="I225" s="121"/>
      <c r="J225" s="121"/>
      <c r="K225" s="2"/>
      <c r="L225" s="3"/>
      <c r="M225" s="122"/>
      <c r="N225" s="122"/>
      <c r="O225" s="122"/>
      <c r="P225" s="122"/>
      <c r="Q225" s="2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spans="1:26" ht="13.2" x14ac:dyDescent="0.25">
      <c r="A226" s="83">
        <v>45536</v>
      </c>
      <c r="B226" s="62">
        <v>16</v>
      </c>
      <c r="C226" s="63">
        <f>212.5/1000</f>
        <v>0.21249999999999999</v>
      </c>
      <c r="D226" s="72">
        <f ca="1">IFERROR(__xludf.DUMMYFUNCTION("$C220*IMPORTRANGE(""https://docs.google.com/spreadsheets/d/1xsp01RMmkav9iTy39Zaj_7tE9677EGlOJ14KU9TZn7I/"",""1985-2003!H4569"")"),0.232347499999999)</f>
        <v>0.23234749999999901</v>
      </c>
      <c r="E226" s="72">
        <f ca="1">IFERROR(__xludf.DUMMYFUNCTION("$C220*IMPORTRANGE(""https://docs.google.com/spreadsheets/d/1xsp01RMmkav9iTy39Zaj_7tE9677EGlOJ14KU9TZn7I/"",""1985-2003!T4569"")"),0.144829374999999)</f>
        <v>0.14482937499999901</v>
      </c>
      <c r="F226" s="72">
        <f ca="1">IFERROR(__xludf.DUMMYFUNCTION("$C220*IMPORTRANGE(""https://docs.google.com/spreadsheets/d/1xsp01RMmkav9iTy39Zaj_7tE9677EGlOJ14KU9TZn7I/"",""1985-2003!AC4569"")"),25.2524375)</f>
        <v>25.252437499999999</v>
      </c>
      <c r="G226" s="61" t="s">
        <v>8</v>
      </c>
      <c r="H226" s="121"/>
      <c r="I226" s="121"/>
      <c r="J226" s="121"/>
      <c r="K226" s="2"/>
      <c r="L226" s="3"/>
      <c r="M226" s="122"/>
      <c r="N226" s="122"/>
      <c r="O226" s="122"/>
      <c r="P226" s="122"/>
      <c r="Q226" s="2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spans="1:26" ht="13.2" x14ac:dyDescent="0.25">
      <c r="A227" s="85">
        <v>45566</v>
      </c>
      <c r="B227" s="74">
        <v>29</v>
      </c>
      <c r="C227" s="75">
        <f>8546.2/1000</f>
        <v>8.5462000000000007</v>
      </c>
      <c r="D227" s="76">
        <f ca="1">IFERROR(__xludf.DUMMYFUNCTION("$C221*IMPORTRANGE(""https://docs.google.com/spreadsheets/d/1xsp01RMmkav9iTy39Zaj_7tE9677EGlOJ14KU9TZn7I/"",""1985-2003!H4593"")"),9.44611486)</f>
        <v>9.4461148599999998</v>
      </c>
      <c r="E227" s="76">
        <f ca="1">IFERROR(__xludf.DUMMYFUNCTION("$C221*IMPORTRANGE(""https://docs.google.com/spreadsheets/d/1xsp01RMmkav9iTy39Zaj_7tE9677EGlOJ14KU9TZn7I/"",""1985-2003!T4593"")"),5.88918642)</f>
        <v>5.8891864199999997</v>
      </c>
      <c r="F227" s="76">
        <f ca="1">IFERROR(__xludf.DUMMYFUNCTION("$C221*IMPORTRANGE(""https://docs.google.com/spreadsheets/d/1xsp01RMmkav9iTy39Zaj_7tE9677EGlOJ14KU9TZn7I/"",""1985-2003!AC4593"")"),1035.970364)</f>
        <v>1035.970364</v>
      </c>
      <c r="G227" s="73" t="s">
        <v>8</v>
      </c>
      <c r="H227" s="121"/>
      <c r="I227" s="121"/>
      <c r="J227" s="121"/>
      <c r="K227" s="2"/>
      <c r="L227" s="3"/>
      <c r="M227" s="122"/>
      <c r="N227" s="122"/>
      <c r="O227" s="122"/>
      <c r="P227" s="122"/>
      <c r="Q227" s="2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spans="1:26" ht="13.2" x14ac:dyDescent="0.25">
      <c r="A228" s="83">
        <v>45597</v>
      </c>
      <c r="B228" s="62">
        <v>18</v>
      </c>
      <c r="C228" s="63">
        <f>809.1/1000</f>
        <v>0.80910000000000004</v>
      </c>
      <c r="D228" s="72">
        <f ca="1">IFERROR(__xludf.DUMMYFUNCTION("$C222*IMPORTRANGE(""https://docs.google.com/spreadsheets/d/1xsp01RMmkav9iTy39Zaj_7tE9677EGlOJ14KU9TZn7I/"",""1985-2003!H4616"")"),0.913271625)</f>
        <v>0.91327162500000003</v>
      </c>
      <c r="E228" s="72">
        <f ca="1">IFERROR(__xludf.DUMMYFUNCTION("$C222*IMPORTRANGE(""https://docs.google.com/spreadsheets/d/1xsp01RMmkav9iTy39Zaj_7tE9677EGlOJ14KU9TZn7I/"",""1985-2003!T4616"")"),0.56588454)</f>
        <v>0.56588453999999999</v>
      </c>
      <c r="F228" s="72">
        <f ca="1">IFERROR(__xludf.DUMMYFUNCTION("$C222*IMPORTRANGE(""https://docs.google.com/spreadsheets/d/1xsp01RMmkav9iTy39Zaj_7tE9677EGlOJ14KU9TZn7I/"",""1985-2003!AC4616"")"),99.0702495)</f>
        <v>99.070249500000003</v>
      </c>
      <c r="G228" s="61" t="s">
        <v>8</v>
      </c>
      <c r="H228" s="121"/>
      <c r="I228" s="121"/>
      <c r="J228" s="121"/>
      <c r="K228" s="2"/>
      <c r="L228" s="3"/>
      <c r="M228" s="122"/>
      <c r="N228" s="122"/>
      <c r="O228" s="122"/>
      <c r="P228" s="122"/>
      <c r="Q228" s="2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spans="1:26" ht="13.2" x14ac:dyDescent="0.25">
      <c r="A229" s="86">
        <v>45627</v>
      </c>
      <c r="B229" s="78">
        <v>40</v>
      </c>
      <c r="C229" s="79">
        <f>1447.6/1000</f>
        <v>1.4476</v>
      </c>
      <c r="D229" s="80">
        <f ca="1">IFERROR(__xludf.DUMMYFUNCTION("$C223*IMPORTRANGE(""https://docs.google.com/spreadsheets/d/1xsp01RMmkav9iTy39Zaj_7tE9677EGlOJ14KU9TZn7I/"",""1985-2003!H4638"")"),1.624931)</f>
        <v>1.6249309999999999</v>
      </c>
      <c r="E229" s="80">
        <f ca="1">IFERROR(__xludf.DUMMYFUNCTION("$C223*IMPORTRANGE(""https://docs.google.com/spreadsheets/d/1xsp01RMmkav9iTy39Zaj_7tE9677EGlOJ14KU9TZn7I/"",""1985-2003!T4638"")"),1.00217348)</f>
        <v>1.0021734799999999</v>
      </c>
      <c r="F229" s="80">
        <f ca="1">IFERROR(__xludf.DUMMYFUNCTION("$C223*IMPORTRANGE(""https://docs.google.com/spreadsheets/d/1xsp01RMmkav9iTy39Zaj_7tE9677EGlOJ14KU9TZn7I/"",""1985-2003!AC4638"")"),184.655856)</f>
        <v>184.655856</v>
      </c>
      <c r="G229" s="77" t="s">
        <v>8</v>
      </c>
      <c r="H229" s="121"/>
      <c r="I229" s="121"/>
      <c r="J229" s="121"/>
      <c r="K229" s="2"/>
      <c r="L229" s="3"/>
      <c r="M229" s="122"/>
      <c r="N229" s="122"/>
      <c r="O229" s="122"/>
      <c r="P229" s="122"/>
      <c r="Q229" s="2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spans="1:26" ht="13.2" x14ac:dyDescent="0.25">
      <c r="A230" s="58">
        <v>2002</v>
      </c>
      <c r="B230" s="59"/>
      <c r="C230" s="60"/>
      <c r="D230" s="60"/>
      <c r="E230" s="60"/>
      <c r="F230" s="60"/>
      <c r="G230" s="58"/>
      <c r="H230" s="121"/>
      <c r="I230" s="121"/>
      <c r="J230" s="121"/>
      <c r="K230" s="2"/>
      <c r="L230" s="3"/>
      <c r="M230" s="122"/>
      <c r="N230" s="122"/>
      <c r="O230" s="122"/>
      <c r="P230" s="122"/>
      <c r="Q230" s="2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spans="1:26" ht="13.2" x14ac:dyDescent="0.25">
      <c r="A231" s="87" t="s">
        <v>232</v>
      </c>
      <c r="B231" s="62">
        <v>19</v>
      </c>
      <c r="C231" s="63">
        <f>363/1000</f>
        <v>0.36299999999999999</v>
      </c>
      <c r="D231" s="72">
        <f ca="1">IFERROR(__xludf.DUMMYFUNCTION("$C225*IMPORTRANGE(""https://docs.google.com/spreadsheets/d/1xsp01RMmkav9iTy39Zaj_7tE9677EGlOJ14KU9TZn7I/"",""1985-2003!H4662"")"),0.4106256)</f>
        <v>0.41062559999999998</v>
      </c>
      <c r="E231" s="72">
        <f ca="1">IFERROR(__xludf.DUMMYFUNCTION("$C225*IMPORTRANGE(""https://docs.google.com/spreadsheets/d/1xsp01RMmkav9iTy39Zaj_7tE9677EGlOJ14KU9TZn7I/"",""1985-2003!T4662"")"),0.252520949999999)</f>
        <v>0.25252094999999902</v>
      </c>
      <c r="F231" s="72">
        <f ca="1">IFERROR(__xludf.DUMMYFUNCTION("$C225*IMPORTRANGE(""https://docs.google.com/spreadsheets/d/1xsp01RMmkav9iTy39Zaj_7tE9677EGlOJ14KU9TZn7I/"",""1985-2003!AC4662"")"),48.139245)</f>
        <v>48.139245000000003</v>
      </c>
      <c r="G231" s="61" t="s">
        <v>8</v>
      </c>
      <c r="H231" s="121"/>
      <c r="I231" s="121"/>
      <c r="J231" s="121"/>
      <c r="K231" s="2"/>
      <c r="L231" s="3"/>
      <c r="M231" s="122"/>
      <c r="N231" s="122"/>
      <c r="O231" s="122"/>
      <c r="P231" s="122"/>
      <c r="Q231" s="2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spans="1:26" ht="13.2" x14ac:dyDescent="0.25">
      <c r="A232" s="88" t="s">
        <v>233</v>
      </c>
      <c r="B232" s="74">
        <v>15</v>
      </c>
      <c r="C232" s="75">
        <f>2005.9/1000</f>
        <v>2.0059</v>
      </c>
      <c r="D232" s="76">
        <f ca="1">IFERROR(__xludf.DUMMYFUNCTION("$C226*IMPORTRANGE(""https://docs.google.com/spreadsheets/d/1xsp01RMmkav9iTy39Zaj_7tE9677EGlOJ14KU9TZn7I/"",""1985-2003!H4683"")"),2.30357556)</f>
        <v>2.3035755600000001</v>
      </c>
      <c r="E232" s="76">
        <f ca="1">IFERROR(__xludf.DUMMYFUNCTION("$C226*IMPORTRANGE(""https://docs.google.com/spreadsheets/d/1xsp01RMmkav9iTy39Zaj_7tE9677EGlOJ14KU9TZn7I/"",""1985-2003!T4683"")"),1.408442685)</f>
        <v>1.408442685</v>
      </c>
      <c r="F232" s="76">
        <f ca="1">IFERROR(__xludf.DUMMYFUNCTION("$C226*IMPORTRANGE(""https://docs.google.com/spreadsheets/d/1xsp01RMmkav9iTy39Zaj_7tE9677EGlOJ14KU9TZn7I/"",""1985-2003!AC4683"")"),268.1386825)</f>
        <v>268.13868250000002</v>
      </c>
      <c r="G232" s="73" t="s">
        <v>8</v>
      </c>
      <c r="H232" s="121"/>
      <c r="I232" s="121"/>
      <c r="J232" s="121"/>
      <c r="K232" s="2"/>
      <c r="L232" s="3"/>
      <c r="M232" s="122"/>
      <c r="N232" s="122"/>
      <c r="O232" s="122"/>
      <c r="P232" s="122"/>
      <c r="Q232" s="2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spans="1:26" ht="13.2" x14ac:dyDescent="0.25">
      <c r="A233" s="87" t="s">
        <v>234</v>
      </c>
      <c r="B233" s="62">
        <v>20</v>
      </c>
      <c r="C233" s="63">
        <f>3517.8/1000</f>
        <v>3.5178000000000003</v>
      </c>
      <c r="D233" s="72">
        <f ca="1">IFERROR(__xludf.DUMMYFUNCTION("$C227*IMPORTRANGE(""https://docs.google.com/spreadsheets/d/1xsp01RMmkav9iTy39Zaj_7tE9677EGlOJ14KU9TZn7I/"",""1985-2003!H4705"")"),4.01275446)</f>
        <v>4.01275446</v>
      </c>
      <c r="E233" s="72">
        <f ca="1">IFERROR(__xludf.DUMMYFUNCTION("$C227*IMPORTRANGE(""https://docs.google.com/spreadsheets/d/1xsp01RMmkav9iTy39Zaj_7tE9677EGlOJ14KU9TZn7I/"",""1985-2003!T4705"")"),2.46914382)</f>
        <v>2.4691438200000002</v>
      </c>
      <c r="F233" s="72">
        <f ca="1">IFERROR(__xludf.DUMMYFUNCTION("$C227*IMPORTRANGE(""https://docs.google.com/spreadsheets/d/1xsp01RMmkav9iTy39Zaj_7tE9677EGlOJ14KU9TZn7I/"",""1985-2003!AC4705"")"),464.314422)</f>
        <v>464.31442199999998</v>
      </c>
      <c r="G233" s="61" t="s">
        <v>8</v>
      </c>
      <c r="H233" s="121"/>
      <c r="I233" s="121"/>
      <c r="J233" s="121"/>
      <c r="K233" s="2"/>
      <c r="L233" s="3"/>
      <c r="M233" s="122"/>
      <c r="N233" s="122"/>
      <c r="O233" s="122"/>
      <c r="P233" s="122"/>
      <c r="Q233" s="2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pans="1:26" ht="13.2" x14ac:dyDescent="0.25">
      <c r="A234" s="88" t="s">
        <v>235</v>
      </c>
      <c r="B234" s="74">
        <v>16</v>
      </c>
      <c r="C234" s="75">
        <f>389.5/1000</f>
        <v>0.38950000000000001</v>
      </c>
      <c r="D234" s="76">
        <f ca="1">IFERROR(__xludf.DUMMYFUNCTION("$C228*IMPORTRANGE(""https://docs.google.com/spreadsheets/d/1xsp01RMmkav9iTy39Zaj_7tE9677EGlOJ14KU9TZn7I/"",""1985-2003!H4728"")"),0.4413035)</f>
        <v>0.44130350000000002</v>
      </c>
      <c r="E234" s="76">
        <f ca="1">IFERROR(__xludf.DUMMYFUNCTION("$C228*IMPORTRANGE(""https://docs.google.com/spreadsheets/d/1xsp01RMmkav9iTy39Zaj_7tE9677EGlOJ14KU9TZn7I/"",""1985-2003!T4728"")"),0.270410375)</f>
        <v>0.27041037499999998</v>
      </c>
      <c r="F234" s="76">
        <f ca="1">IFERROR(__xludf.DUMMYFUNCTION("$C228*IMPORTRANGE(""https://docs.google.com/spreadsheets/d/1xsp01RMmkav9iTy39Zaj_7tE9677EGlOJ14KU9TZn7I/"",""1985-2003!AC4728"")"),50.95439)</f>
        <v>50.954389999999997</v>
      </c>
      <c r="G234" s="73" t="s">
        <v>8</v>
      </c>
      <c r="H234" s="121"/>
      <c r="I234" s="121"/>
      <c r="J234" s="121"/>
      <c r="K234" s="2"/>
      <c r="L234" s="3"/>
      <c r="M234" s="122"/>
      <c r="N234" s="122"/>
      <c r="O234" s="122"/>
      <c r="P234" s="122"/>
      <c r="Q234" s="2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spans="1:26" ht="13.2" x14ac:dyDescent="0.25">
      <c r="A235" s="87" t="s">
        <v>236</v>
      </c>
      <c r="B235" s="62">
        <v>21</v>
      </c>
      <c r="C235" s="63">
        <f>2551.4/1000</f>
        <v>2.5514000000000001</v>
      </c>
      <c r="D235" s="72">
        <f ca="1">IFERROR(__xludf.DUMMYFUNCTION("$C229*IMPORTRANGE(""https://docs.google.com/spreadsheets/d/1xsp01RMmkav9iTy39Zaj_7tE9677EGlOJ14KU9TZn7I/"",""1985-2003!H4752"")"),2.77796432)</f>
        <v>2.7779643200000002</v>
      </c>
      <c r="E235" s="72">
        <f ca="1">IFERROR(__xludf.DUMMYFUNCTION("$C229*IMPORTRANGE(""https://docs.google.com/spreadsheets/d/1xsp01RMmkav9iTy39Zaj_7tE9677EGlOJ14KU9TZn7I/"",""1985-2003!T4752"")"),1.74872956)</f>
        <v>1.7487295599999999</v>
      </c>
      <c r="F235" s="72">
        <f ca="1">IFERROR(__xludf.DUMMYFUNCTION("$C229*IMPORTRANGE(""https://docs.google.com/spreadsheets/d/1xsp01RMmkav9iTy39Zaj_7tE9677EGlOJ14KU9TZn7I/"",""1985-2003!AC4752"")"),324.078828)</f>
        <v>324.07882799999999</v>
      </c>
      <c r="G235" s="61" t="s">
        <v>8</v>
      </c>
      <c r="H235" s="121"/>
      <c r="I235" s="121"/>
      <c r="J235" s="121"/>
      <c r="K235" s="2"/>
      <c r="L235" s="3"/>
      <c r="M235" s="122"/>
      <c r="N235" s="122"/>
      <c r="O235" s="122"/>
      <c r="P235" s="122"/>
      <c r="Q235" s="2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pans="1:26" ht="13.2" x14ac:dyDescent="0.25">
      <c r="A236" s="88" t="s">
        <v>237</v>
      </c>
      <c r="B236" s="74">
        <v>25</v>
      </c>
      <c r="C236" s="75">
        <f>344/1000</f>
        <v>0.34399999999999997</v>
      </c>
      <c r="D236" s="76">
        <f ca="1">IFERROR(__xludf.DUMMYFUNCTION("$C230*IMPORTRANGE(""https://docs.google.com/spreadsheets/d/1xsp01RMmkav9iTy39Zaj_7tE9677EGlOJ14KU9TZn7I/"",""1985-2003!H4773"")"),0.3628684)</f>
        <v>0.36286839999999998</v>
      </c>
      <c r="E236" s="76">
        <f ca="1">IFERROR(__xludf.DUMMYFUNCTION("$C230*IMPORTRANGE(""https://docs.google.com/spreadsheets/d/1xsp01RMmkav9iTy39Zaj_7tE9677EGlOJ14KU9TZn7I/"",""1985-2003!T4773"")"),0.2326644)</f>
        <v>0.23266439999999999</v>
      </c>
      <c r="F236" s="76">
        <f ca="1">IFERROR(__xludf.DUMMYFUNCTION("$C230*IMPORTRANGE(""https://docs.google.com/spreadsheets/d/1xsp01RMmkav9iTy39Zaj_7tE9677EGlOJ14KU9TZn7I/"",""1985-2003!AC4773"")"),42.6904)</f>
        <v>42.690399999999997</v>
      </c>
      <c r="G236" s="73" t="s">
        <v>8</v>
      </c>
      <c r="H236" s="121"/>
      <c r="I236" s="121"/>
      <c r="J236" s="121"/>
      <c r="K236" s="2"/>
      <c r="L236" s="3"/>
      <c r="M236" s="122"/>
      <c r="N236" s="122"/>
      <c r="O236" s="122"/>
      <c r="P236" s="122"/>
      <c r="Q236" s="2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spans="1:26" ht="13.2" x14ac:dyDescent="0.25">
      <c r="A237" s="87" t="s">
        <v>238</v>
      </c>
      <c r="B237" s="62">
        <v>19</v>
      </c>
      <c r="C237" s="63">
        <f>4248.1/1000</f>
        <v>4.2481</v>
      </c>
      <c r="D237" s="72">
        <f ca="1">IFERROR(__xludf.DUMMYFUNCTION("$C231*IMPORTRANGE(""https://docs.google.com/spreadsheets/d/1xsp01RMmkav9iTy39Zaj_7tE9677EGlOJ14KU9TZn7I/"",""1985-2003!H4797"")"),4.2863329)</f>
        <v>4.2863328999999997</v>
      </c>
      <c r="E237" s="72">
        <f ca="1">IFERROR(__xludf.DUMMYFUNCTION("$C231*IMPORTRANGE(""https://docs.google.com/spreadsheets/d/1xsp01RMmkav9iTy39Zaj_7tE9677EGlOJ14KU9TZn7I/"",""1985-2003!T4797"")"),2.71750957)</f>
        <v>2.7175095699999998</v>
      </c>
      <c r="F237" s="72">
        <f ca="1">IFERROR(__xludf.DUMMYFUNCTION("$C231*IMPORTRANGE(""https://docs.google.com/spreadsheets/d/1xsp01RMmkav9iTy39Zaj_7tE9677EGlOJ14KU9TZn7I/"",""1985-2003!AC4797"")"),499.788965)</f>
        <v>499.78896500000002</v>
      </c>
      <c r="G237" s="61" t="s">
        <v>8</v>
      </c>
      <c r="H237" s="121"/>
      <c r="I237" s="121"/>
      <c r="J237" s="121"/>
      <c r="K237" s="2"/>
      <c r="L237" s="3"/>
      <c r="M237" s="122"/>
      <c r="N237" s="122"/>
      <c r="O237" s="122"/>
      <c r="P237" s="122"/>
      <c r="Q237" s="2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spans="1:26" ht="13.2" x14ac:dyDescent="0.25">
      <c r="A238" s="88" t="s">
        <v>239</v>
      </c>
      <c r="B238" s="74">
        <v>14</v>
      </c>
      <c r="C238" s="75">
        <f>1370/1000</f>
        <v>1.37</v>
      </c>
      <c r="D238" s="76">
        <f ca="1">IFERROR(__xludf.DUMMYFUNCTION("$C232*IMPORTRANGE(""https://docs.google.com/spreadsheets/d/1xsp01RMmkav9iTy39Zaj_7tE9677EGlOJ14KU9TZn7I/"",""1985-2003!H4820"")"),1.3991125)</f>
        <v>1.3991125</v>
      </c>
      <c r="E238" s="76">
        <f ca="1">IFERROR(__xludf.DUMMYFUNCTION("$C232*IMPORTRANGE(""https://docs.google.com/spreadsheets/d/1xsp01RMmkav9iTy39Zaj_7tE9677EGlOJ14KU9TZn7I/"",""1985-2003!T4820"")"),0.892555)</f>
        <v>0.89255499999999999</v>
      </c>
      <c r="F238" s="76">
        <f ca="1">IFERROR(__xludf.DUMMYFUNCTION("$C232*IMPORTRANGE(""https://docs.google.com/spreadsheets/d/1xsp01RMmkav9iTy39Zaj_7tE9677EGlOJ14KU9TZn7I/"",""1985-2003!AC4820"")"),162.87245)</f>
        <v>162.87244999999999</v>
      </c>
      <c r="G238" s="73" t="s">
        <v>8</v>
      </c>
      <c r="H238" s="121"/>
      <c r="I238" s="121"/>
      <c r="J238" s="121"/>
      <c r="K238" s="2"/>
      <c r="L238" s="3"/>
      <c r="M238" s="122"/>
      <c r="N238" s="122"/>
      <c r="O238" s="122"/>
      <c r="P238" s="122"/>
      <c r="Q238" s="2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spans="1:26" ht="13.2" x14ac:dyDescent="0.25">
      <c r="A239" s="87" t="s">
        <v>240</v>
      </c>
      <c r="B239" s="62">
        <v>22</v>
      </c>
      <c r="C239" s="63">
        <f>4779.4/1000</f>
        <v>4.7793999999999999</v>
      </c>
      <c r="D239" s="72">
        <f ca="1">IFERROR(__xludf.DUMMYFUNCTION("$C233*IMPORTRANGE(""https://docs.google.com/spreadsheets/d/1xsp01RMmkav9iTy39Zaj_7tE9677EGlOJ14KU9TZn7I/"",""1985-2003!H4842"")"),4.87307624)</f>
        <v>4.8730762399999996</v>
      </c>
      <c r="E239" s="72">
        <f ca="1">IFERROR(__xludf.DUMMYFUNCTION("$C233*IMPORTRANGE(""https://docs.google.com/spreadsheets/d/1xsp01RMmkav9iTy39Zaj_7tE9677EGlOJ14KU9TZn7I/"",""1985-2003!T4842"")"),3.06933067999999)</f>
        <v>3.06933067999999</v>
      </c>
      <c r="F239" s="72">
        <f ca="1">IFERROR(__xludf.DUMMYFUNCTION("$C233*IMPORTRANGE(""https://docs.google.com/spreadsheets/d/1xsp01RMmkav9iTy39Zaj_7tE9677EGlOJ14KU9TZn7I/"",""1985-2003!AC4842"")"),580.362542)</f>
        <v>580.36254199999996</v>
      </c>
      <c r="G239" s="61" t="s">
        <v>8</v>
      </c>
      <c r="H239" s="121"/>
      <c r="I239" s="121"/>
      <c r="J239" s="121"/>
      <c r="K239" s="2"/>
      <c r="L239" s="3"/>
      <c r="M239" s="122"/>
      <c r="N239" s="122"/>
      <c r="O239" s="122"/>
      <c r="P239" s="122"/>
      <c r="Q239" s="2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spans="1:26" ht="13.2" x14ac:dyDescent="0.25">
      <c r="A240" s="88" t="s">
        <v>241</v>
      </c>
      <c r="B240" s="74">
        <v>31</v>
      </c>
      <c r="C240" s="75">
        <f>2481.9/1000</f>
        <v>2.4819</v>
      </c>
      <c r="D240" s="76">
        <f ca="1">IFERROR(__xludf.DUMMYFUNCTION("$C234*IMPORTRANGE(""https://docs.google.com/spreadsheets/d/1xsp01RMmkav9iTy39Zaj_7tE9677EGlOJ14KU9TZn7I/"",""1985-2003!H4866"")"),2.52483687)</f>
        <v>2.5248368700000001</v>
      </c>
      <c r="E240" s="76">
        <f ca="1">IFERROR(__xludf.DUMMYFUNCTION("$C234*IMPORTRANGE(""https://docs.google.com/spreadsheets/d/1xsp01RMmkav9iTy39Zaj_7tE9677EGlOJ14KU9TZn7I/"",""1985-2003!T4866"")"),1.59362799)</f>
        <v>1.5936279900000001</v>
      </c>
      <c r="F240" s="76">
        <f ca="1">IFERROR(__xludf.DUMMYFUNCTION("$C234*IMPORTRANGE(""https://docs.google.com/spreadsheets/d/1xsp01RMmkav9iTy39Zaj_7tE9677EGlOJ14KU9TZn7I/"",""1985-2003!AC4866"")"),308.549808)</f>
        <v>308.54980799999998</v>
      </c>
      <c r="G240" s="73" t="s">
        <v>8</v>
      </c>
      <c r="H240" s="121"/>
      <c r="I240" s="121"/>
      <c r="J240" s="121"/>
      <c r="K240" s="2"/>
      <c r="L240" s="3"/>
      <c r="M240" s="122"/>
      <c r="N240" s="122"/>
      <c r="O240" s="122"/>
      <c r="P240" s="122"/>
      <c r="Q240" s="2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spans="1:26" ht="13.2" x14ac:dyDescent="0.25">
      <c r="A241" s="87" t="s">
        <v>242</v>
      </c>
      <c r="B241" s="62">
        <v>18</v>
      </c>
      <c r="C241" s="63">
        <f>160.7/1000</f>
        <v>0.16069999999999998</v>
      </c>
      <c r="D241" s="72">
        <f ca="1">IFERROR(__xludf.DUMMYFUNCTION("$C235*IMPORTRANGE(""https://docs.google.com/spreadsheets/d/1xsp01RMmkav9iTy39Zaj_7tE9677EGlOJ14KU9TZn7I/"",""1985-2003!H4888"")"),0.16039467)</f>
        <v>0.16039466999999999</v>
      </c>
      <c r="E241" s="72">
        <f ca="1">IFERROR(__xludf.DUMMYFUNCTION("$C235*IMPORTRANGE(""https://docs.google.com/spreadsheets/d/1xsp01RMmkav9iTy39Zaj_7tE9677EGlOJ14KU9TZn7I/"",""1985-2003!T4888"")"),0.101755239999999)</f>
        <v>0.101755239999999</v>
      </c>
      <c r="F241" s="72">
        <f ca="1">IFERROR(__xludf.DUMMYFUNCTION("$C235*IMPORTRANGE(""https://docs.google.com/spreadsheets/d/1xsp01RMmkav9iTy39Zaj_7tE9677EGlOJ14KU9TZn7I/"",""1985-2003!AC4888"")"),19.5861159999999)</f>
        <v>19.586115999999901</v>
      </c>
      <c r="G241" s="61" t="s">
        <v>8</v>
      </c>
      <c r="H241" s="121"/>
      <c r="I241" s="121"/>
      <c r="J241" s="121"/>
      <c r="K241" s="2"/>
      <c r="L241" s="3"/>
      <c r="M241" s="122"/>
      <c r="N241" s="122"/>
      <c r="O241" s="122"/>
      <c r="P241" s="122"/>
      <c r="Q241" s="2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spans="1:26" ht="13.2" x14ac:dyDescent="0.25">
      <c r="A242" s="89" t="s">
        <v>243</v>
      </c>
      <c r="B242" s="78">
        <v>30</v>
      </c>
      <c r="C242" s="79">
        <f>5299.1/1000</f>
        <v>5.2991000000000001</v>
      </c>
      <c r="D242" s="80">
        <f ca="1">IFERROR(__xludf.DUMMYFUNCTION("$C236*IMPORTRANGE(""https://docs.google.com/spreadsheets/d/1xsp01RMmkav9iTy39Zaj_7tE9677EGlOJ14KU9TZn7I/"",""1985-2003!H4911"")"),5.16980196)</f>
        <v>5.16980196</v>
      </c>
      <c r="E242" s="80">
        <f ca="1">IFERROR(__xludf.DUMMYFUNCTION("$C236*IMPORTRANGE(""https://docs.google.com/spreadsheets/d/1xsp01RMmkav9iTy39Zaj_7tE9677EGlOJ14KU9TZn7I/"",""1985-2003!T4911"")"),3.328099755)</f>
        <v>3.3280997550000002</v>
      </c>
      <c r="F242" s="80">
        <f ca="1">IFERROR(__xludf.DUMMYFUNCTION("$C236*IMPORTRANGE(""https://docs.google.com/spreadsheets/d/1xsp01RMmkav9iTy39Zaj_7tE9677EGlOJ14KU9TZn7I/"",""1985-2003!AC4911"")"),642.224424499999)</f>
        <v>642.22442449999903</v>
      </c>
      <c r="G242" s="77" t="s">
        <v>8</v>
      </c>
      <c r="H242" s="121"/>
      <c r="I242" s="121"/>
      <c r="J242" s="121"/>
      <c r="K242" s="2"/>
      <c r="L242" s="3"/>
      <c r="M242" s="122"/>
      <c r="N242" s="122"/>
      <c r="O242" s="122"/>
      <c r="P242" s="122"/>
      <c r="Q242" s="2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spans="1:26" ht="13.2" x14ac:dyDescent="0.25">
      <c r="A243" s="58">
        <v>2003</v>
      </c>
      <c r="B243" s="59"/>
      <c r="C243" s="60"/>
      <c r="D243" s="60"/>
      <c r="E243" s="60"/>
      <c r="F243" s="60"/>
      <c r="G243" s="58"/>
      <c r="K243" s="2"/>
      <c r="L243" s="3"/>
      <c r="M243" s="122"/>
      <c r="N243" s="122"/>
      <c r="O243" s="122"/>
      <c r="P243" s="122"/>
      <c r="Q243" s="2"/>
    </row>
    <row r="244" spans="1:26" ht="13.2" x14ac:dyDescent="0.25">
      <c r="A244" s="87" t="s">
        <v>244</v>
      </c>
      <c r="B244" s="90">
        <v>15</v>
      </c>
      <c r="C244" s="63">
        <f>1641.2/1000</f>
        <v>1.6412</v>
      </c>
      <c r="D244" s="72">
        <f ca="1">IFERROR(__xludf.DUMMYFUNCTION("$C238*IMPORTRANGE(""https://docs.google.com/spreadsheets/d/1xsp01RMmkav9iTy39Zaj_7tE9677EGlOJ14KU9TZn7I/"",""1985-2003!H4936"")"),1.54207152)</f>
        <v>1.5420715199999999</v>
      </c>
      <c r="E244" s="72">
        <f ca="1">IFERROR(__xludf.DUMMYFUNCTION("$C238*IMPORTRANGE(""https://docs.google.com/spreadsheets/d/1xsp01RMmkav9iTy39Zaj_7tE9677EGlOJ14KU9TZn7I/"",""1985-2003!T4936"")"),1.01458984)</f>
        <v>1.01458984</v>
      </c>
      <c r="F244" s="72">
        <f ca="1">IFERROR(__xludf.DUMMYFUNCTION("$C238*IMPORTRANGE(""https://docs.google.com/spreadsheets/d/1xsp01RMmkav9iTy39Zaj_7tE9677EGlOJ14KU9TZn7I/"",""1985-2003!AC4936"")"),194.777616)</f>
        <v>194.77761599999999</v>
      </c>
      <c r="G244" s="61" t="s">
        <v>8</v>
      </c>
      <c r="K244" s="2"/>
      <c r="L244" s="3"/>
      <c r="M244" s="122"/>
      <c r="N244" s="122"/>
      <c r="O244" s="122"/>
      <c r="P244" s="122"/>
      <c r="Q244" s="2"/>
    </row>
    <row r="245" spans="1:26" ht="13.2" x14ac:dyDescent="0.25">
      <c r="A245" s="88" t="s">
        <v>245</v>
      </c>
      <c r="B245" s="91">
        <v>18</v>
      </c>
      <c r="C245" s="75">
        <f>1418.3/1000</f>
        <v>1.4182999999999999</v>
      </c>
      <c r="D245" s="76">
        <f ca="1">IFERROR(__xludf.DUMMYFUNCTION("$C239*IMPORTRANGE(""https://docs.google.com/spreadsheets/d/1xsp01RMmkav9iTy39Zaj_7tE9677EGlOJ14KU9TZn7I/"",""1985-2003!H4957"")"),1.31533142)</f>
        <v>1.3153314199999999</v>
      </c>
      <c r="E245" s="76">
        <f ca="1">IFERROR(__xludf.DUMMYFUNCTION("$C239*IMPORTRANGE(""https://docs.google.com/spreadsheets/d/1xsp01RMmkav9iTy39Zaj_7tE9677EGlOJ14KU9TZn7I/"",""1985-2003!T4957"")"),0.876793059999999)</f>
        <v>0.87679305999999901</v>
      </c>
      <c r="F245" s="76">
        <f ca="1">IFERROR(__xludf.DUMMYFUNCTION("$C239*IMPORTRANGE(""https://docs.google.com/spreadsheets/d/1xsp01RMmkav9iTy39Zaj_7tE9677EGlOJ14KU9TZn7I/"",""1985-2003!AC4957"")"),169.933614499999)</f>
        <v>169.93361449999901</v>
      </c>
      <c r="G245" s="73" t="s">
        <v>8</v>
      </c>
      <c r="K245" s="2"/>
      <c r="L245" s="3"/>
      <c r="M245" s="122"/>
      <c r="N245" s="122"/>
      <c r="O245" s="122"/>
      <c r="P245" s="122"/>
      <c r="Q245" s="2"/>
    </row>
    <row r="246" spans="1:26" ht="13.2" x14ac:dyDescent="0.25">
      <c r="A246" s="87" t="s">
        <v>246</v>
      </c>
      <c r="B246" s="90">
        <v>28</v>
      </c>
      <c r="C246" s="63">
        <f>1919.6/1000</f>
        <v>1.9196</v>
      </c>
      <c r="D246" s="72">
        <f ca="1">IFERROR(__xludf.DUMMYFUNCTION("$C240*IMPORTRANGE(""https://docs.google.com/spreadsheets/d/1xsp01RMmkav9iTy39Zaj_7tE9677EGlOJ14KU9TZn7I/"",""1985-2003!H4979"")"),1.78023704)</f>
        <v>1.78023704</v>
      </c>
      <c r="E246" s="72">
        <f ca="1">IFERROR(__xludf.DUMMYFUNCTION("$C240*IMPORTRANGE(""https://docs.google.com/spreadsheets/d/1xsp01RMmkav9iTy39Zaj_7tE9677EGlOJ14KU9TZn7I/"",""1985-2003!T4979"")"),1.21184348)</f>
        <v>1.21184348</v>
      </c>
      <c r="F246" s="72">
        <f ca="1">IFERROR(__xludf.DUMMYFUNCTION("$C240*IMPORTRANGE(""https://docs.google.com/spreadsheets/d/1xsp01RMmkav9iTy39Zaj_7tE9677EGlOJ14KU9TZn7I/"",""1985-2003!AC4979"")"),227.587776)</f>
        <v>227.58777599999999</v>
      </c>
      <c r="G246" s="61" t="s">
        <v>8</v>
      </c>
      <c r="K246" s="2"/>
      <c r="L246" s="3"/>
      <c r="M246" s="122"/>
      <c r="N246" s="122"/>
      <c r="O246" s="122"/>
      <c r="P246" s="122"/>
      <c r="Q246" s="2"/>
    </row>
    <row r="247" spans="1:26" ht="13.2" x14ac:dyDescent="0.25">
      <c r="A247" s="88" t="s">
        <v>247</v>
      </c>
      <c r="B247" s="91">
        <v>18</v>
      </c>
      <c r="C247" s="75">
        <f>523.3/1000</f>
        <v>0.52329999999999999</v>
      </c>
      <c r="D247" s="76">
        <f ca="1">IFERROR(__xludf.DUMMYFUNCTION("$C241*IMPORTRANGE(""https://docs.google.com/spreadsheets/d/1xsp01RMmkav9iTy39Zaj_7tE9677EGlOJ14KU9TZn7I/"",""1985-2003!H5002"")"),0.481305175)</f>
        <v>0.48130517499999997</v>
      </c>
      <c r="E247" s="76">
        <f ca="1">IFERROR(__xludf.DUMMYFUNCTION("$C241*IMPORTRANGE(""https://docs.google.com/spreadsheets/d/1xsp01RMmkav9iTy39Zaj_7tE9677EGlOJ14KU9TZn7I/"",""1985-2003!T5002"")"),0.331379724999999)</f>
        <v>0.33137972499999901</v>
      </c>
      <c r="F247" s="76">
        <f ca="1">IFERROR(__xludf.DUMMYFUNCTION("$C241*IMPORTRANGE(""https://docs.google.com/spreadsheets/d/1xsp01RMmkav9iTy39Zaj_7tE9677EGlOJ14KU9TZn7I/"",""1985-2003!AC5002"")"),62.7462865)</f>
        <v>62.746286499999997</v>
      </c>
      <c r="G247" s="73" t="s">
        <v>8</v>
      </c>
      <c r="K247" s="2"/>
      <c r="L247" s="3"/>
      <c r="M247" s="122"/>
      <c r="N247" s="122"/>
      <c r="O247" s="122"/>
      <c r="P247" s="122"/>
      <c r="Q247" s="2"/>
    </row>
    <row r="248" spans="1:26" ht="13.2" x14ac:dyDescent="0.25">
      <c r="A248" s="87" t="s">
        <v>248</v>
      </c>
      <c r="B248" s="90">
        <v>19</v>
      </c>
      <c r="C248" s="63">
        <f>2206.7/1000</f>
        <v>2.2066999999999997</v>
      </c>
      <c r="D248" s="72">
        <f ca="1">IFERROR(__xludf.DUMMYFUNCTION("$C242*IMPORTRANGE(""https://docs.google.com/spreadsheets/d/1xsp01RMmkav9iTy39Zaj_7tE9677EGlOJ14KU9TZn7I/"",""1985-2003!H5025"")"),1.90559578499999)</f>
        <v>1.90559578499999</v>
      </c>
      <c r="E248" s="72">
        <f ca="1">IFERROR(__xludf.DUMMYFUNCTION("$C242*IMPORTRANGE(""https://docs.google.com/spreadsheets/d/1xsp01RMmkav9iTy39Zaj_7tE9677EGlOJ14KU9TZn7I/"",""1985-2003!T5025"")"),1.35447245999999)</f>
        <v>1.35447245999999</v>
      </c>
      <c r="F248" s="72">
        <f ca="1">IFERROR(__xludf.DUMMYFUNCTION("$C242*IMPORTRANGE(""https://docs.google.com/spreadsheets/d/1xsp01RMmkav9iTy39Zaj_7tE9677EGlOJ14KU9TZn7I/"",""1985-2003!AC5025"")"),258.525938499999)</f>
        <v>258.52593849999897</v>
      </c>
      <c r="G248" s="61" t="s">
        <v>8</v>
      </c>
      <c r="K248" s="2"/>
      <c r="L248" s="3"/>
      <c r="M248" s="122"/>
      <c r="N248" s="122"/>
      <c r="O248" s="122"/>
      <c r="P248" s="122"/>
      <c r="Q248" s="2"/>
    </row>
    <row r="249" spans="1:26" ht="13.2" x14ac:dyDescent="0.25">
      <c r="A249" s="88" t="s">
        <v>249</v>
      </c>
      <c r="B249" s="91">
        <v>28</v>
      </c>
      <c r="C249" s="75">
        <f>1921.9/1000</f>
        <v>1.9219000000000002</v>
      </c>
      <c r="D249" s="76">
        <f ca="1">IFERROR(__xludf.DUMMYFUNCTION("$C243*IMPORTRANGE(""https://docs.google.com/spreadsheets/d/1xsp01RMmkav9iTy39Zaj_7tE9677EGlOJ14KU9TZn7I/"",""1985-2003!H5047"")"),1.64264793)</f>
        <v>1.6426479300000001</v>
      </c>
      <c r="E249" s="76">
        <f ca="1">IFERROR(__xludf.DUMMYFUNCTION("$C243*IMPORTRANGE(""https://docs.google.com/spreadsheets/d/1xsp01RMmkav9iTy39Zaj_7tE9677EGlOJ14KU9TZn7I/"",""1985-2003!T5047"")"),1.14987277)</f>
        <v>1.14987277</v>
      </c>
      <c r="F249" s="76">
        <f ca="1">IFERROR(__xludf.DUMMYFUNCTION("$C243*IMPORTRANGE(""https://docs.google.com/spreadsheets/d/1xsp01RMmkav9iTy39Zaj_7tE9677EGlOJ14KU9TZn7I/"",""1985-2003!AC5047"")"),227.072485)</f>
        <v>227.072485</v>
      </c>
      <c r="G249" s="73" t="s">
        <v>8</v>
      </c>
      <c r="K249" s="2"/>
      <c r="L249" s="3"/>
      <c r="M249" s="122"/>
      <c r="N249" s="122"/>
      <c r="O249" s="122"/>
      <c r="P249" s="122"/>
      <c r="Q249" s="2"/>
    </row>
    <row r="250" spans="1:26" ht="13.2" x14ac:dyDescent="0.25">
      <c r="A250" s="87" t="s">
        <v>250</v>
      </c>
      <c r="B250" s="90">
        <v>27</v>
      </c>
      <c r="C250" s="63">
        <f>1228.9/1000</f>
        <v>1.2289000000000001</v>
      </c>
      <c r="D250" s="72">
        <f ca="1">IFERROR(__xludf.DUMMYFUNCTION("$C244*IMPORTRANGE(""https://docs.google.com/spreadsheets/d/1xsp01RMmkav9iTy39Zaj_7tE9677EGlOJ14KU9TZn7I/"",""1985-2003!H5071"")"),1.08278379)</f>
        <v>1.0827837899999999</v>
      </c>
      <c r="E250" s="72">
        <f ca="1">IFERROR(__xludf.DUMMYFUNCTION("$C244*IMPORTRANGE(""https://docs.google.com/spreadsheets/d/1xsp01RMmkav9iTy39Zaj_7tE9677EGlOJ14KU9TZn7I/"",""1985-2003!T5071"")"),0.75393015)</f>
        <v>0.75393014999999997</v>
      </c>
      <c r="F250" s="72">
        <f ca="1">IFERROR(__xludf.DUMMYFUNCTION("$C244*IMPORTRANGE(""https://docs.google.com/spreadsheets/d/1xsp01RMmkav9iTy39Zaj_7tE9677EGlOJ14KU9TZn7I/"",""1985-2003!AC5071"")"),145.62465)</f>
        <v>145.62465</v>
      </c>
      <c r="G250" s="61" t="s">
        <v>8</v>
      </c>
      <c r="K250" s="2"/>
      <c r="L250" s="3"/>
      <c r="M250" s="122"/>
      <c r="N250" s="122"/>
      <c r="O250" s="122"/>
      <c r="P250" s="122"/>
      <c r="Q250" s="2"/>
    </row>
    <row r="251" spans="1:26" ht="13.2" x14ac:dyDescent="0.25">
      <c r="A251" s="88" t="s">
        <v>251</v>
      </c>
      <c r="B251" s="91">
        <v>11</v>
      </c>
      <c r="C251" s="75">
        <f>596.6/1000</f>
        <v>0.59660000000000002</v>
      </c>
      <c r="D251" s="76">
        <f ca="1">IFERROR(__xludf.DUMMYFUNCTION("$C245*IMPORTRANGE(""https://docs.google.com/spreadsheets/d/1xsp01RMmkav9iTy39Zaj_7tE9677EGlOJ14KU9TZn7I/"",""1985-2003!H5093"")"),0.52984046)</f>
        <v>0.52984045999999996</v>
      </c>
      <c r="E251" s="76">
        <f ca="1">IFERROR(__xludf.DUMMYFUNCTION("$C245*IMPORTRANGE(""https://docs.google.com/spreadsheets/d/1xsp01RMmkav9iTy39Zaj_7tE9677EGlOJ14KU9TZn7I/"",""1985-2003!T5093"")"),0.37186078)</f>
        <v>0.37186078</v>
      </c>
      <c r="F251" s="76">
        <f ca="1">IFERROR(__xludf.DUMMYFUNCTION("$C245*IMPORTRANGE(""https://docs.google.com/spreadsheets/d/1xsp01RMmkav9iTy39Zaj_7tE9677EGlOJ14KU9TZn7I/"",""1985-2003!AC5093"")"),70.834318)</f>
        <v>70.834317999999996</v>
      </c>
      <c r="G251" s="73" t="s">
        <v>8</v>
      </c>
      <c r="K251" s="2"/>
      <c r="L251" s="3"/>
      <c r="M251" s="122"/>
      <c r="N251" s="122"/>
      <c r="O251" s="122"/>
      <c r="P251" s="122"/>
      <c r="Q251" s="2"/>
    </row>
    <row r="252" spans="1:26" ht="13.2" x14ac:dyDescent="0.25">
      <c r="A252" s="87" t="s">
        <v>252</v>
      </c>
      <c r="B252" s="90">
        <v>27</v>
      </c>
      <c r="C252" s="63">
        <f>11160.1/1000</f>
        <v>11.1601</v>
      </c>
      <c r="D252" s="72">
        <f ca="1">IFERROR(__xludf.DUMMYFUNCTION("$C246*IMPORTRANGE(""https://docs.google.com/spreadsheets/d/1xsp01RMmkav9iTy39Zaj_7tE9677EGlOJ14KU9TZn7I/"",""1985-2003!H5116"")"),9.90570475999999)</f>
        <v>9.9057047599999901</v>
      </c>
      <c r="E252" s="72">
        <f ca="1">IFERROR(__xludf.DUMMYFUNCTION("$C246*IMPORTRANGE(""https://docs.google.com/spreadsheets/d/1xsp01RMmkav9iTy39Zaj_7tE9677EGlOJ14KU9TZn7I/"",""1985-2003!T5116"")"),6.942140205)</f>
        <v>6.9421402050000003</v>
      </c>
      <c r="F252" s="72">
        <f ca="1">IFERROR(__xludf.DUMMYFUNCTION("$C246*IMPORTRANGE(""https://docs.google.com/spreadsheets/d/1xsp01RMmkav9iTy39Zaj_7tE9677EGlOJ14KU9TZn7I/"",""1985-2003!AC5116"")"),1295.910812)</f>
        <v>1295.9108120000001</v>
      </c>
      <c r="G252" s="61" t="s">
        <v>8</v>
      </c>
      <c r="K252" s="2"/>
      <c r="L252" s="3"/>
      <c r="M252" s="122"/>
      <c r="N252" s="122"/>
      <c r="O252" s="122"/>
      <c r="P252" s="122"/>
      <c r="Q252" s="2"/>
    </row>
    <row r="253" spans="1:26" ht="13.2" x14ac:dyDescent="0.25">
      <c r="A253" s="88" t="s">
        <v>253</v>
      </c>
      <c r="B253" s="91">
        <v>29</v>
      </c>
      <c r="C253" s="75">
        <f>844/1000</f>
        <v>0.84399999999999997</v>
      </c>
      <c r="D253" s="76">
        <f ca="1">IFERROR(__xludf.DUMMYFUNCTION("$C247*IMPORTRANGE(""https://docs.google.com/spreadsheets/d/1xsp01RMmkav9iTy39Zaj_7tE9677EGlOJ14KU9TZn7I/"",""1985-2003!H5140"")"),0.7206072)</f>
        <v>0.7206072</v>
      </c>
      <c r="E253" s="76">
        <f ca="1">IFERROR(__xludf.DUMMYFUNCTION("$C247*IMPORTRANGE(""https://docs.google.com/spreadsheets/d/1xsp01RMmkav9iTy39Zaj_7tE9677EGlOJ14KU9TZn7I/"",""1985-2003!T5140"")"),0.5028552)</f>
        <v>0.50285519999999995</v>
      </c>
      <c r="F253" s="76">
        <f ca="1">IFERROR(__xludf.DUMMYFUNCTION("$C247*IMPORTRANGE(""https://docs.google.com/spreadsheets/d/1xsp01RMmkav9iTy39Zaj_7tE9677EGlOJ14KU9TZn7I/"",""1985-2003!AC5140"")"),92.39268)</f>
        <v>92.392679999999999</v>
      </c>
      <c r="G253" s="73" t="s">
        <v>8</v>
      </c>
      <c r="K253" s="2"/>
      <c r="L253" s="3"/>
      <c r="M253" s="122"/>
      <c r="N253" s="122"/>
      <c r="O253" s="122"/>
      <c r="P253" s="122"/>
      <c r="Q253" s="2"/>
    </row>
    <row r="254" spans="1:26" ht="13.2" x14ac:dyDescent="0.25">
      <c r="A254" s="87" t="s">
        <v>254</v>
      </c>
      <c r="B254" s="90">
        <v>22</v>
      </c>
      <c r="C254" s="63">
        <f>5034.5/1000</f>
        <v>5.0345000000000004</v>
      </c>
      <c r="D254" s="72">
        <f ca="1">IFERROR(__xludf.DUMMYFUNCTION("$C248*IMPORTRANGE(""https://docs.google.com/spreadsheets/d/1xsp01RMmkav9iTy39Zaj_7tE9677EGlOJ14KU9TZn7I/"",""1985-2003!H5161"")"),4.28209397499999)</f>
        <v>4.2820939749999898</v>
      </c>
      <c r="E254" s="72">
        <f ca="1">IFERROR(__xludf.DUMMYFUNCTION("$C248*IMPORTRANGE(""https://docs.google.com/spreadsheets/d/1xsp01RMmkav9iTy39Zaj_7tE9677EGlOJ14KU9TZn7I/"",""1985-2003!T5161"")"),2.967586025)</f>
        <v>2.9675860250000001</v>
      </c>
      <c r="F254" s="72">
        <f ca="1">IFERROR(__xludf.DUMMYFUNCTION("$C248*IMPORTRANGE(""https://docs.google.com/spreadsheets/d/1xsp01RMmkav9iTy39Zaj_7tE9677EGlOJ14KU9TZn7I/"",""1985-2003!AC5161"")"),549.1380875)</f>
        <v>549.13808749999998</v>
      </c>
      <c r="G254" s="61" t="s">
        <v>8</v>
      </c>
      <c r="K254" s="2"/>
      <c r="L254" s="3"/>
      <c r="M254" s="122"/>
      <c r="N254" s="122"/>
      <c r="O254" s="122"/>
      <c r="P254" s="122"/>
      <c r="Q254" s="2"/>
    </row>
    <row r="255" spans="1:26" ht="13.2" x14ac:dyDescent="0.25">
      <c r="A255" s="89" t="s">
        <v>255</v>
      </c>
      <c r="B255" s="92">
        <v>45</v>
      </c>
      <c r="C255" s="79">
        <f>1294.2/1000</f>
        <v>1.2942</v>
      </c>
      <c r="D255" s="80">
        <f ca="1">IFERROR(__xludf.DUMMYFUNCTION("$C249*IMPORTRANGE(""https://docs.google.com/spreadsheets/d/1xsp01RMmkav9iTy39Zaj_7tE9677EGlOJ14KU9TZn7I/"",""1985-2003!H5185"")"),1.05037272)</f>
        <v>1.0503727199999999</v>
      </c>
      <c r="E255" s="80">
        <f ca="1">IFERROR(__xludf.DUMMYFUNCTION("$C249*IMPORTRANGE(""https://docs.google.com/spreadsheets/d/1xsp01RMmkav9iTy39Zaj_7tE9677EGlOJ14KU9TZn7I/"",""1985-2003!H5185"")"),1.05037272)</f>
        <v>1.0503727199999999</v>
      </c>
      <c r="F255" s="80">
        <f ca="1">IFERROR(__xludf.DUMMYFUNCTION("$C249*IMPORTRANGE(""https://docs.google.com/spreadsheets/d/1xsp01RMmkav9iTy39Zaj_7tE9677EGlOJ14KU9TZn7I/"",""1985-2003!H5185"")"),1.05037272)</f>
        <v>1.0503727199999999</v>
      </c>
      <c r="G255" s="77" t="s">
        <v>8</v>
      </c>
      <c r="K255" s="2"/>
      <c r="L255" s="3"/>
      <c r="M255" s="122"/>
      <c r="N255" s="122"/>
      <c r="O255" s="122"/>
      <c r="P255" s="122"/>
      <c r="Q255" s="2"/>
    </row>
    <row r="256" spans="1:26" ht="13.2" x14ac:dyDescent="0.25">
      <c r="A256" s="58">
        <v>2004</v>
      </c>
      <c r="B256" s="59"/>
      <c r="C256" s="93"/>
      <c r="D256" s="93"/>
      <c r="E256" s="93"/>
      <c r="F256" s="93"/>
      <c r="G256" s="58"/>
      <c r="K256" s="2"/>
      <c r="L256" s="3"/>
      <c r="M256" s="122"/>
      <c r="N256" s="122"/>
      <c r="O256" s="122"/>
      <c r="P256" s="122"/>
      <c r="Q256" s="2"/>
    </row>
    <row r="257" spans="1:17" ht="13.2" x14ac:dyDescent="0.25">
      <c r="A257" s="87" t="s">
        <v>256</v>
      </c>
      <c r="B257" s="90">
        <v>25</v>
      </c>
      <c r="C257" s="63">
        <f>728.2/1000</f>
        <v>0.72820000000000007</v>
      </c>
      <c r="D257" s="72">
        <f ca="1">IFERROR(__xludf.DUMMYFUNCTION("$C251*IMPORTRANGE(""https://docs.google.com/spreadsheets/d/1xsp01RMmkav9iTy39Zaj_7tE9677EGlOJ14KU9TZn7I/"",""2004-2017!H24"")"),0.577069372)</f>
        <v>0.57706937199999997</v>
      </c>
      <c r="E257" s="72">
        <f ca="1">IFERROR(__xludf.DUMMYFUNCTION("$C251*IMPORTRANGE(""https://docs.google.com/spreadsheets/d/1xsp01RMmkav9iTy39Zaj_7tE9677EGlOJ14KU9TZn7I/"",""2004-2017!T24"")"),0.399399495)</f>
        <v>0.39939949499999999</v>
      </c>
      <c r="F257" s="72">
        <f ca="1">IFERROR(__xludf.DUMMYFUNCTION("$C251*IMPORTRANGE(""https://docs.google.com/spreadsheets/d/1xsp01RMmkav9iTy39Zaj_7tE9677EGlOJ14KU9TZn7I/"",""2004-2017!AC24"")"),77.3748891795)</f>
        <v>77.374889179500002</v>
      </c>
      <c r="G257" s="61" t="s">
        <v>8</v>
      </c>
      <c r="K257" s="2"/>
      <c r="L257" s="3"/>
      <c r="M257" s="122"/>
      <c r="N257" s="122"/>
      <c r="O257" s="122"/>
      <c r="P257" s="122"/>
      <c r="Q257" s="2"/>
    </row>
    <row r="258" spans="1:17" ht="13.2" x14ac:dyDescent="0.25">
      <c r="A258" s="88" t="s">
        <v>257</v>
      </c>
      <c r="B258" s="91">
        <v>19</v>
      </c>
      <c r="C258" s="75">
        <f>699.6/1000</f>
        <v>0.6996</v>
      </c>
      <c r="D258" s="76">
        <f ca="1">IFERROR(__xludf.DUMMYFUNCTION("$C252*IMPORTRANGE(""https://docs.google.com/spreadsheets/d/1xsp01RMmkav9iTy39Zaj_7tE9677EGlOJ14KU9TZn7I/"",""2004-2017!H45"")"),0.55166958)</f>
        <v>0.55166957999999999</v>
      </c>
      <c r="E258" s="76">
        <f ca="1">IFERROR(__xludf.DUMMYFUNCTION("$C252*IMPORTRANGE(""https://docs.google.com/spreadsheets/d/1xsp01RMmkav9iTy39Zaj_7tE9677EGlOJ14KU9TZn7I/"",""2004-2017!T45"")"),0.374327976)</f>
        <v>0.37432797600000001</v>
      </c>
      <c r="F258" s="76">
        <f ca="1">IFERROR(__xludf.DUMMYFUNCTION("$C252*IMPORTRANGE(""https://docs.google.com/spreadsheets/d/1xsp01RMmkav9iTy39Zaj_7tE9677EGlOJ14KU9TZn7I/"",""2004-2017!AC45"")"),73.89525)</f>
        <v>73.895250000000004</v>
      </c>
      <c r="G258" s="73" t="s">
        <v>8</v>
      </c>
      <c r="K258" s="2"/>
      <c r="L258" s="3"/>
      <c r="M258" s="122"/>
      <c r="N258" s="122"/>
      <c r="O258" s="122"/>
      <c r="P258" s="122"/>
      <c r="Q258" s="2"/>
    </row>
    <row r="259" spans="1:17" ht="13.2" x14ac:dyDescent="0.25">
      <c r="A259" s="87" t="s">
        <v>258</v>
      </c>
      <c r="B259" s="90">
        <v>35</v>
      </c>
      <c r="C259" s="63">
        <f>1335.5/1000</f>
        <v>1.3354999999999999</v>
      </c>
      <c r="D259" s="72">
        <f ca="1">IFERROR(__xludf.DUMMYFUNCTION("$C253*IMPORTRANGE(""https://docs.google.com/spreadsheets/d/1xsp01RMmkav9iTy39Zaj_7tE9677EGlOJ14KU9TZn7I/"",""2004-2017!H69"")"),1.089220445)</f>
        <v>1.089220445</v>
      </c>
      <c r="E259" s="72">
        <f ca="1">IFERROR(__xludf.DUMMYFUNCTION("$C253*IMPORTRANGE(""https://docs.google.com/spreadsheets/d/1xsp01RMmkav9iTy39Zaj_7tE9677EGlOJ14KU9TZn7I/"",""2004-2017!T69"")"),0.73134651)</f>
        <v>0.73134650999999995</v>
      </c>
      <c r="F259" s="72">
        <f ca="1">IFERROR(__xludf.DUMMYFUNCTION("$C253*IMPORTRANGE(""https://docs.google.com/spreadsheets/d/1xsp01RMmkav9iTy39Zaj_7tE9677EGlOJ14KU9TZn7I/"",""2004-2017!AC69"")"),145.182203664499)</f>
        <v>145.18220366449901</v>
      </c>
      <c r="G259" s="61" t="s">
        <v>8</v>
      </c>
      <c r="K259" s="2"/>
      <c r="L259" s="3"/>
      <c r="M259" s="122"/>
      <c r="N259" s="122"/>
      <c r="O259" s="122"/>
      <c r="P259" s="122"/>
      <c r="Q259" s="2"/>
    </row>
    <row r="260" spans="1:17" ht="13.2" x14ac:dyDescent="0.25">
      <c r="A260" s="88" t="s">
        <v>259</v>
      </c>
      <c r="B260" s="91">
        <v>25</v>
      </c>
      <c r="C260" s="75">
        <f>656.7/1000</f>
        <v>0.65670000000000006</v>
      </c>
      <c r="D260" s="76">
        <f ca="1">IFERROR(__xludf.DUMMYFUNCTION("$C254*IMPORTRANGE(""https://docs.google.com/spreadsheets/d/1xsp01RMmkav9iTy39Zaj_7tE9677EGlOJ14KU9TZn7I/"",""2004-2017!H92"")"),0.547937346)</f>
        <v>0.54793734599999999</v>
      </c>
      <c r="E260" s="76">
        <f ca="1">IFERROR(__xludf.DUMMYFUNCTION("$C254*IMPORTRANGE(""https://docs.google.com/spreadsheets/d/1xsp01RMmkav9iTy39Zaj_7tE9677EGlOJ14KU9TZn7I/"",""2004-2017!T92"")"),0.3660347295)</f>
        <v>0.36603472949999999</v>
      </c>
      <c r="F260" s="76">
        <f ca="1">IFERROR(__xludf.DUMMYFUNCTION("$C254*IMPORTRANGE(""https://docs.google.com/spreadsheets/d/1xsp01RMmkav9iTy39Zaj_7tE9677EGlOJ14KU9TZn7I/"",""2004-2017!AC92"")"),71.1206093433)</f>
        <v>71.120609343300004</v>
      </c>
      <c r="G260" s="73" t="s">
        <v>8</v>
      </c>
      <c r="K260" s="2"/>
      <c r="L260" s="3"/>
      <c r="M260" s="122"/>
      <c r="N260" s="122"/>
      <c r="O260" s="122"/>
      <c r="P260" s="122"/>
      <c r="Q260" s="2"/>
    </row>
    <row r="261" spans="1:17" ht="13.2" x14ac:dyDescent="0.25">
      <c r="A261" s="87" t="s">
        <v>260</v>
      </c>
      <c r="B261" s="90">
        <v>30</v>
      </c>
      <c r="C261" s="63">
        <f>753.6/1000</f>
        <v>0.75360000000000005</v>
      </c>
      <c r="D261" s="72">
        <f ca="1">IFERROR(__xludf.DUMMYFUNCTION("$C255*IMPORTRANGE(""https://docs.google.com/spreadsheets/d/1xsp01RMmkav9iTy39Zaj_7tE9677EGlOJ14KU9TZn7I/"",""2004-2017!H114"")"),0.627794016)</f>
        <v>0.62779401599999995</v>
      </c>
      <c r="E261" s="72">
        <f ca="1">IFERROR(__xludf.DUMMYFUNCTION("$C255*IMPORTRANGE(""https://docs.google.com/spreadsheets/d/1xsp01RMmkav9iTy39Zaj_7tE9677EGlOJ14KU9TZn7I/"",""2004-2017!T114"")"),0.421194576)</f>
        <v>0.42119457599999999</v>
      </c>
      <c r="F261" s="72">
        <f ca="1">IFERROR(__xludf.DUMMYFUNCTION("$C255*IMPORTRANGE(""https://docs.google.com/spreadsheets/d/1xsp01RMmkav9iTy39Zaj_7tE9677EGlOJ14KU9TZn7I/"",""2004-2017!AC114"")"),84.6594209856)</f>
        <v>84.659420985599994</v>
      </c>
      <c r="G261" s="61" t="s">
        <v>8</v>
      </c>
      <c r="K261" s="2"/>
      <c r="L261" s="3"/>
      <c r="M261" s="122"/>
      <c r="N261" s="122"/>
      <c r="O261" s="122"/>
      <c r="P261" s="122"/>
      <c r="Q261" s="2"/>
    </row>
    <row r="262" spans="1:17" ht="13.2" x14ac:dyDescent="0.25">
      <c r="A262" s="88" t="s">
        <v>261</v>
      </c>
      <c r="B262" s="91">
        <v>22</v>
      </c>
      <c r="C262" s="75">
        <f>518.2/1000</f>
        <v>0.51819999999999999</v>
      </c>
      <c r="D262" s="76">
        <f ca="1">IFERROR(__xludf.DUMMYFUNCTION("$C256*IMPORTRANGE(""https://docs.google.com/spreadsheets/d/1xsp01RMmkav9iTy39Zaj_7tE9677EGlOJ14KU9TZn7I/"",""2004-2017!H137"")"),0.426307594)</f>
        <v>0.42630759400000001</v>
      </c>
      <c r="E262" s="76">
        <f ca="1">IFERROR(__xludf.DUMMYFUNCTION("$C256*IMPORTRANGE(""https://docs.google.com/spreadsheets/d/1xsp01RMmkav9iTy39Zaj_7tE9677EGlOJ14KU9TZn7I/"",""2004-2017!T137"")"),0.282929426999999)</f>
        <v>0.28292942699999901</v>
      </c>
      <c r="F262" s="76">
        <f ca="1">IFERROR(__xludf.DUMMYFUNCTION("$C256*IMPORTRANGE(""https://docs.google.com/spreadsheets/d/1xsp01RMmkav9iTy39Zaj_7tE9677EGlOJ14KU9TZn7I/"",""2004-2017!AC137"")"),56.7273547772999)</f>
        <v>56.727354777299901</v>
      </c>
      <c r="G262" s="73" t="s">
        <v>8</v>
      </c>
      <c r="K262" s="2"/>
      <c r="L262" s="3"/>
      <c r="M262" s="122"/>
      <c r="N262" s="122"/>
      <c r="O262" s="122"/>
      <c r="P262" s="122"/>
      <c r="Q262" s="2"/>
    </row>
    <row r="263" spans="1:17" ht="13.2" x14ac:dyDescent="0.25">
      <c r="A263" s="87" t="s">
        <v>262</v>
      </c>
      <c r="B263" s="90">
        <v>20</v>
      </c>
      <c r="C263" s="63">
        <f>1111.4/1000</f>
        <v>1.1114000000000002</v>
      </c>
      <c r="D263" s="72">
        <f ca="1">IFERROR(__xludf.DUMMYFUNCTION("$C257*IMPORTRANGE(""https://docs.google.com/spreadsheets/d/1xsp01RMmkav9iTy39Zaj_7tE9677EGlOJ14KU9TZn7I/"",""2004-2017!H160"")"),0.903173653)</f>
        <v>0.90317365299999997</v>
      </c>
      <c r="E263" s="72">
        <f ca="1">IFERROR(__xludf.DUMMYFUNCTION("$C257*IMPORTRANGE(""https://docs.google.com/spreadsheets/d/1xsp01RMmkav9iTy39Zaj_7tE9677EGlOJ14KU9TZn7I/"",""2004-2017!T160"")"),0.603001184)</f>
        <v>0.60300118400000002</v>
      </c>
      <c r="F263" s="72">
        <f ca="1">IFERROR(__xludf.DUMMYFUNCTION("$C257*IMPORTRANGE(""https://docs.google.com/spreadsheets/d/1xsp01RMmkav9iTy39Zaj_7tE9677EGlOJ14KU9TZn7I/"",""2004-2017!AC160"")"),121.2315142228)</f>
        <v>121.2315142228</v>
      </c>
      <c r="G263" s="61" t="s">
        <v>8</v>
      </c>
      <c r="K263" s="2"/>
      <c r="L263" s="3"/>
      <c r="M263" s="122"/>
      <c r="N263" s="122"/>
      <c r="O263" s="122"/>
      <c r="P263" s="122"/>
      <c r="Q263" s="2"/>
    </row>
    <row r="264" spans="1:17" ht="13.2" x14ac:dyDescent="0.25">
      <c r="A264" s="88" t="s">
        <v>263</v>
      </c>
      <c r="B264" s="91">
        <v>17</v>
      </c>
      <c r="C264" s="75">
        <f>182.8/1000</f>
        <v>0.18280000000000002</v>
      </c>
      <c r="D264" s="76">
        <f ca="1">IFERROR(__xludf.DUMMYFUNCTION("$C258*IMPORTRANGE(""https://docs.google.com/spreadsheets/d/1xsp01RMmkav9iTy39Zaj_7tE9677EGlOJ14KU9TZn7I/"",""2004-2017!H183"")"),0.14983659)</f>
        <v>0.14983658999999999</v>
      </c>
      <c r="E264" s="76">
        <f ca="1">IFERROR(__xludf.DUMMYFUNCTION("$C258*IMPORTRANGE(""https://docs.google.com/spreadsheets/d/1xsp01RMmkav9iTy39Zaj_7tE9677EGlOJ14KU9TZn7I/"",""2004-2017!T183"")"),0.100211874)</f>
        <v>0.10021187400000001</v>
      </c>
      <c r="F264" s="76">
        <f ca="1">IFERROR(__xludf.DUMMYFUNCTION("$C258*IMPORTRANGE(""https://docs.google.com/spreadsheets/d/1xsp01RMmkav9iTy39Zaj_7tE9677EGlOJ14KU9TZn7I/"",""2004-2017!AC183"")"),20.1527857258)</f>
        <v>20.152785725800001</v>
      </c>
      <c r="G264" s="73" t="s">
        <v>8</v>
      </c>
      <c r="K264" s="2"/>
      <c r="L264" s="3"/>
      <c r="M264" s="122"/>
      <c r="N264" s="122"/>
      <c r="O264" s="122"/>
      <c r="P264" s="122"/>
      <c r="Q264" s="2"/>
    </row>
    <row r="265" spans="1:17" ht="13.2" x14ac:dyDescent="0.25">
      <c r="A265" s="87" t="s">
        <v>264</v>
      </c>
      <c r="B265" s="90">
        <v>38</v>
      </c>
      <c r="C265" s="63">
        <f>1917.1/1000</f>
        <v>1.9170999999999998</v>
      </c>
      <c r="D265" s="72">
        <f ca="1">IFERROR(__xludf.DUMMYFUNCTION("$C259*IMPORTRANGE(""https://docs.google.com/spreadsheets/d/1xsp01RMmkav9iTy39Zaj_7tE9677EGlOJ14KU9TZn7I/"",""2004-2017!H206"")"),1.56485204599999)</f>
        <v>1.5648520459999899</v>
      </c>
      <c r="E265" s="72">
        <f ca="1">IFERROR(__xludf.DUMMYFUNCTION("$C259*IMPORTRANGE(""https://docs.google.com/spreadsheets/d/1xsp01RMmkav9iTy39Zaj_7tE9677EGlOJ14KU9TZn7I/"",""2004-2017!T206"")"),1.06873532249999)</f>
        <v>1.06873532249999</v>
      </c>
      <c r="F265" s="72">
        <f ca="1">IFERROR(__xludf.DUMMYFUNCTION("$C259*IMPORTRANGE(""https://docs.google.com/spreadsheets/d/1xsp01RMmkav9iTy39Zaj_7tE9677EGlOJ14KU9TZn7I/"",""2004-2017!AC206"")"),210.81390245855)</f>
        <v>210.81390245854999</v>
      </c>
      <c r="G265" s="61" t="s">
        <v>8</v>
      </c>
      <c r="K265" s="2"/>
      <c r="L265" s="3"/>
      <c r="M265" s="122"/>
      <c r="N265" s="122"/>
      <c r="O265" s="122"/>
      <c r="P265" s="122"/>
      <c r="Q265" s="2"/>
    </row>
    <row r="266" spans="1:17" ht="13.2" x14ac:dyDescent="0.25">
      <c r="A266" s="88" t="s">
        <v>265</v>
      </c>
      <c r="B266" s="94">
        <v>24</v>
      </c>
      <c r="C266" s="75">
        <f>267.7/1000</f>
        <v>0.26769999999999999</v>
      </c>
      <c r="D266" s="76">
        <f ca="1">IFERROR(__xludf.DUMMYFUNCTION("$C260*IMPORTRANGE(""https://docs.google.com/spreadsheets/d/1xsp01RMmkav9iTy39Zaj_7tE9677EGlOJ14KU9TZn7I/"",""2004-2017!H228"")"),0.215074195499999)</f>
        <v>0.21507419549999901</v>
      </c>
      <c r="E266" s="76">
        <f ca="1">IFERROR(__xludf.DUMMYFUNCTION("$C260*IMPORTRANGE(""https://docs.google.com/spreadsheets/d/1xsp01RMmkav9iTy39Zaj_7tE9677EGlOJ14KU9TZn7I/"",""2004-2017!T228"")"),0.1488130915)</f>
        <v>0.14881309149999999</v>
      </c>
      <c r="F266" s="76">
        <f ca="1">IFERROR(__xludf.DUMMYFUNCTION("$C260*IMPORTRANGE(""https://docs.google.com/spreadsheets/d/1xsp01RMmkav9iTy39Zaj_7tE9677EGlOJ14KU9TZn7I/"",""2004-2017!AC228"")"),29.2783498031)</f>
        <v>29.278349803099999</v>
      </c>
      <c r="G266" s="73" t="s">
        <v>8</v>
      </c>
      <c r="K266" s="2"/>
      <c r="L266" s="3"/>
      <c r="M266" s="122"/>
      <c r="N266" s="122"/>
      <c r="O266" s="122"/>
      <c r="P266" s="122"/>
      <c r="Q266" s="2"/>
    </row>
    <row r="267" spans="1:17" ht="13.2" x14ac:dyDescent="0.25">
      <c r="A267" s="87" t="s">
        <v>266</v>
      </c>
      <c r="B267" s="90">
        <v>28</v>
      </c>
      <c r="C267" s="63">
        <f>5439.1/1000</f>
        <v>5.4391000000000007</v>
      </c>
      <c r="D267" s="72">
        <f ca="1">IFERROR(__xludf.DUMMYFUNCTION("$C261*IMPORTRANGE(""https://docs.google.com/spreadsheets/d/1xsp01RMmkav9iTy39Zaj_7tE9677EGlOJ14KU9TZn7I/"",""2004-2017!H251"")"),4.195395394)</f>
        <v>4.1953953940000002</v>
      </c>
      <c r="E267" s="72">
        <f ca="1">IFERROR(__xludf.DUMMYFUNCTION("$C261*IMPORTRANGE(""https://docs.google.com/spreadsheets/d/1xsp01RMmkav9iTy39Zaj_7tE9677EGlOJ14KU9TZn7I/"",""2004-2017!T251"")"),2.929771215)</f>
        <v>2.9297712150000002</v>
      </c>
      <c r="F267" s="72">
        <f ca="1">IFERROR(__xludf.DUMMYFUNCTION("$C261*IMPORTRANGE(""https://docs.google.com/spreadsheets/d/1xsp01RMmkav9iTy39Zaj_7tE9677EGlOJ14KU9TZn7I/"",""2004-2017!AC251"")"),573.3627319391)</f>
        <v>573.36273193909994</v>
      </c>
      <c r="G267" s="61" t="s">
        <v>8</v>
      </c>
      <c r="K267" s="2"/>
      <c r="L267" s="3"/>
      <c r="M267" s="122"/>
      <c r="N267" s="122"/>
      <c r="O267" s="122"/>
      <c r="P267" s="122"/>
      <c r="Q267" s="2"/>
    </row>
    <row r="268" spans="1:17" ht="13.2" x14ac:dyDescent="0.25">
      <c r="A268" s="89" t="s">
        <v>267</v>
      </c>
      <c r="B268" s="92">
        <v>40</v>
      </c>
      <c r="C268" s="79">
        <f>2721.2/1000</f>
        <v>2.7211999999999996</v>
      </c>
      <c r="D268" s="80">
        <f ca="1">IFERROR(__xludf.DUMMYFUNCTION("$C262*IMPORTRANGE(""https://docs.google.com/spreadsheets/d/1xsp01RMmkav9iTy39Zaj_7tE9677EGlOJ14KU9TZn7I/"",""2004-2017!H275"")"),2.03194725199999)</f>
        <v>2.0319472519999899</v>
      </c>
      <c r="E268" s="80">
        <f ca="1">IFERROR(__xludf.DUMMYFUNCTION("$C262*IMPORTRANGE(""https://docs.google.com/spreadsheets/d/1xsp01RMmkav9iTy39Zaj_7tE9677EGlOJ14KU9TZn7I/"",""2004-2017!T275"")"),1.41178577199999)</f>
        <v>1.41178577199999</v>
      </c>
      <c r="F268" s="80">
        <f ca="1">IFERROR(__xludf.DUMMYFUNCTION("$C262*IMPORTRANGE(""https://docs.google.com/spreadsheets/d/1xsp01RMmkav9iTy39Zaj_7tE9677EGlOJ14KU9TZn7I/"",""2004-2017!AC275"")"),282.841533442399)</f>
        <v>282.841533442399</v>
      </c>
      <c r="G268" s="77" t="s">
        <v>8</v>
      </c>
      <c r="K268" s="2"/>
      <c r="L268" s="3"/>
      <c r="M268" s="122"/>
      <c r="N268" s="122"/>
      <c r="O268" s="122"/>
      <c r="P268" s="122"/>
      <c r="Q268" s="2"/>
    </row>
    <row r="269" spans="1:17" ht="13.2" x14ac:dyDescent="0.25">
      <c r="A269" s="58">
        <v>2005</v>
      </c>
      <c r="B269" s="59"/>
      <c r="C269" s="93"/>
      <c r="D269" s="93"/>
      <c r="E269" s="93"/>
      <c r="F269" s="93"/>
      <c r="G269" s="58"/>
      <c r="K269" s="2"/>
      <c r="L269" s="3"/>
      <c r="M269" s="122"/>
      <c r="N269" s="122"/>
      <c r="O269" s="122"/>
      <c r="P269" s="122"/>
      <c r="Q269" s="2"/>
    </row>
    <row r="270" spans="1:17" ht="13.2" x14ac:dyDescent="0.25">
      <c r="A270" s="87" t="s">
        <v>268</v>
      </c>
      <c r="B270" s="90">
        <v>41</v>
      </c>
      <c r="C270" s="63">
        <f>4859.7/1000</f>
        <v>4.8597000000000001</v>
      </c>
      <c r="D270" s="72">
        <f ca="1">IFERROR(__xludf.DUMMYFUNCTION("$C264*IMPORTRANGE(""https://docs.google.com/spreadsheets/d/1xsp01RMmkav9iTy39Zaj_7tE9677EGlOJ14KU9TZn7I/"",""2004-2017!H298"")"),3.720780708)</f>
        <v>3.7207807079999999</v>
      </c>
      <c r="E270" s="72">
        <f ca="1">IFERROR(__xludf.DUMMYFUNCTION("$C264*IMPORTRANGE(""https://docs.google.com/spreadsheets/d/1xsp01RMmkav9iTy39Zaj_7tE9677EGlOJ14KU9TZn7I/"",""2004-2017!T298"")"),2.58686690699999)</f>
        <v>2.5868669069999899</v>
      </c>
      <c r="F270" s="72">
        <f ca="1">IFERROR(__xludf.DUMMYFUNCTION("$C264*IMPORTRANGE(""https://docs.google.com/spreadsheets/d/1xsp01RMmkav9iTy39Zaj_7tE9677EGlOJ14KU9TZn7I/"",""2004-2017!AC298"")"),500.1117464388)</f>
        <v>500.11174643880003</v>
      </c>
      <c r="G270" s="61" t="s">
        <v>8</v>
      </c>
      <c r="K270" s="2"/>
      <c r="L270" s="3"/>
      <c r="M270" s="122"/>
      <c r="N270" s="122"/>
      <c r="O270" s="122"/>
      <c r="P270" s="122"/>
      <c r="Q270" s="2"/>
    </row>
    <row r="271" spans="1:17" ht="13.2" x14ac:dyDescent="0.25">
      <c r="A271" s="88" t="s">
        <v>269</v>
      </c>
      <c r="B271" s="91">
        <v>33</v>
      </c>
      <c r="C271" s="75">
        <f>3187.5/1000</f>
        <v>3.1875</v>
      </c>
      <c r="D271" s="76">
        <f ca="1">IFERROR(__xludf.DUMMYFUNCTION("$C265*IMPORTRANGE(""https://docs.google.com/spreadsheets/d/1xsp01RMmkav9iTy39Zaj_7tE9677EGlOJ14KU9TZn7I/"",""2004-2017!H319"")"),2.4467409375)</f>
        <v>2.4467409375</v>
      </c>
      <c r="E271" s="76">
        <f ca="1">IFERROR(__xludf.DUMMYFUNCTION("$C265*IMPORTRANGE(""https://docs.google.com/spreadsheets/d/1xsp01RMmkav9iTy39Zaj_7tE9677EGlOJ14KU9TZn7I/"",""2004-2017!T319"")"),1.69014)</f>
        <v>1.69014</v>
      </c>
      <c r="F271" s="76">
        <f ca="1">IFERROR(__xludf.DUMMYFUNCTION("$C265*IMPORTRANGE(""https://docs.google.com/spreadsheets/d/1xsp01RMmkav9iTy39Zaj_7tE9677EGlOJ14KU9TZn7I/"",""2004-2017!AC319"")"),335.229368624999)</f>
        <v>335.22936862499898</v>
      </c>
      <c r="G271" s="73" t="s">
        <v>8</v>
      </c>
      <c r="K271" s="2"/>
      <c r="L271" s="3"/>
      <c r="M271" s="122"/>
      <c r="N271" s="122"/>
      <c r="O271" s="122"/>
      <c r="P271" s="122"/>
      <c r="Q271" s="2"/>
    </row>
    <row r="272" spans="1:17" ht="13.2" x14ac:dyDescent="0.25">
      <c r="A272" s="87" t="s">
        <v>270</v>
      </c>
      <c r="B272" s="90">
        <v>47</v>
      </c>
      <c r="C272" s="63">
        <f>2343.4/1000</f>
        <v>2.3433999999999999</v>
      </c>
      <c r="D272" s="72">
        <f ca="1">IFERROR(__xludf.DUMMYFUNCTION("$C266*IMPORTRANGE(""https://docs.google.com/spreadsheets/d/1xsp01RMmkav9iTy39Zaj_7tE9677EGlOJ14KU9TZn7I/"",""2004-2017!H343"")"),1.779085846)</f>
        <v>1.7790858460000001</v>
      </c>
      <c r="E272" s="72">
        <f ca="1">IFERROR(__xludf.DUMMYFUNCTION("$C266*IMPORTRANGE(""https://docs.google.com/spreadsheets/d/1xsp01RMmkav9iTy39Zaj_7tE9677EGlOJ14KU9TZn7I/"",""2004-2017!T343"")"),1.224848312)</f>
        <v>1.224848312</v>
      </c>
      <c r="F272" s="72">
        <f ca="1">IFERROR(__xludf.DUMMYFUNCTION("$C266*IMPORTRANGE(""https://docs.google.com/spreadsheets/d/1xsp01RMmkav9iTy39Zaj_7tE9677EGlOJ14KU9TZn7I/"",""2004-2017!AC343"")"),245.892962)</f>
        <v>245.89296200000001</v>
      </c>
      <c r="G272" s="61" t="s">
        <v>8</v>
      </c>
      <c r="K272" s="2"/>
      <c r="L272" s="3"/>
      <c r="M272" s="122"/>
      <c r="N272" s="122"/>
      <c r="O272" s="122"/>
      <c r="P272" s="122"/>
      <c r="Q272" s="2"/>
    </row>
    <row r="273" spans="1:17" ht="13.2" x14ac:dyDescent="0.25">
      <c r="A273" s="88" t="s">
        <v>271</v>
      </c>
      <c r="B273" s="91">
        <v>40</v>
      </c>
      <c r="C273" s="75">
        <f>1020.4/1000</f>
        <v>1.0204</v>
      </c>
      <c r="D273" s="76">
        <f ca="1">IFERROR(__xludf.DUMMYFUNCTION("$C267*IMPORTRANGE(""https://docs.google.com/spreadsheets/d/1xsp01RMmkav9iTy39Zaj_7tE9677EGlOJ14KU9TZn7I/"",""2004-2017!H365"")"),0.790085516)</f>
        <v>0.79008551599999999</v>
      </c>
      <c r="E273" s="76">
        <f ca="1">IFERROR(__xludf.DUMMYFUNCTION("$C267*IMPORTRANGE(""https://docs.google.com/spreadsheets/d/1xsp01RMmkav9iTy39Zaj_7tE9677EGlOJ14KU9TZn7I/"",""2004-2017!T365"")"),0.53866916)</f>
        <v>0.53866915999999998</v>
      </c>
      <c r="F273" s="76">
        <f ca="1">IFERROR(__xludf.DUMMYFUNCTION("$C267*IMPORTRANGE(""https://docs.google.com/spreadsheets/d/1xsp01RMmkav9iTy39Zaj_7tE9677EGlOJ14KU9TZn7I/"",""2004-2017!AC365"")"),109.621572)</f>
        <v>109.621572</v>
      </c>
      <c r="G273" s="73" t="s">
        <v>8</v>
      </c>
      <c r="K273" s="2"/>
      <c r="L273" s="3"/>
      <c r="M273" s="122"/>
      <c r="N273" s="122"/>
      <c r="O273" s="122"/>
      <c r="P273" s="122"/>
      <c r="Q273" s="2"/>
    </row>
    <row r="274" spans="1:17" ht="13.2" x14ac:dyDescent="0.25">
      <c r="A274" s="87" t="s">
        <v>272</v>
      </c>
      <c r="B274" s="90">
        <v>29</v>
      </c>
      <c r="C274" s="63">
        <f>2220.2/1000</f>
        <v>2.2201999999999997</v>
      </c>
      <c r="D274" s="72">
        <f ca="1">IFERROR(__xludf.DUMMYFUNCTION("$C268*IMPORTRANGE(""https://docs.google.com/spreadsheets/d/1xsp01RMmkav9iTy39Zaj_7tE9677EGlOJ14KU9TZn7I/"",""2004-2017!H388"")"),1.75683315899999)</f>
        <v>1.7568331589999899</v>
      </c>
      <c r="E274" s="72">
        <f ca="1">IFERROR(__xludf.DUMMYFUNCTION("$C268*IMPORTRANGE(""https://docs.google.com/spreadsheets/d/1xsp01RMmkav9iTy39Zaj_7tE9677EGlOJ14KU9TZn7I/"",""2004-2017!T388"")"),1.20708943699999)</f>
        <v>1.2070894369999901</v>
      </c>
      <c r="F274" s="72">
        <f ca="1">IFERROR(__xludf.DUMMYFUNCTION("$C268*IMPORTRANGE(""https://docs.google.com/spreadsheets/d/1xsp01RMmkav9iTy39Zaj_7tE9677EGlOJ14KU9TZn7I/"",""2004-2017!AC388"")"),237.916631999999)</f>
        <v>237.916631999999</v>
      </c>
      <c r="G274" s="61" t="s">
        <v>8</v>
      </c>
      <c r="K274" s="2"/>
      <c r="L274" s="3"/>
      <c r="M274" s="122"/>
      <c r="N274" s="122"/>
      <c r="O274" s="122"/>
      <c r="P274" s="122"/>
      <c r="Q274" s="2"/>
    </row>
    <row r="275" spans="1:17" ht="13.2" x14ac:dyDescent="0.25">
      <c r="A275" s="88" t="s">
        <v>273</v>
      </c>
      <c r="B275" s="91">
        <v>61</v>
      </c>
      <c r="C275" s="75">
        <f>3977.1/1000</f>
        <v>3.9771000000000001</v>
      </c>
      <c r="D275" s="76">
        <f ca="1">IFERROR(__xludf.DUMMYFUNCTION("$C269*IMPORTRANGE(""https://docs.google.com/spreadsheets/d/1xsp01RMmkav9iTy39Zaj_7tE9677EGlOJ14KU9TZn7I/"",""2004-2017!H411"")"),3.274823682)</f>
        <v>3.2748236820000001</v>
      </c>
      <c r="E275" s="76">
        <f ca="1">IFERROR(__xludf.DUMMYFUNCTION("$C269*IMPORTRANGE(""https://docs.google.com/spreadsheets/d/1xsp01RMmkav9iTy39Zaj_7tE9677EGlOJ14KU9TZn7I/"",""2004-2017!T411"")"),2.1842034345)</f>
        <v>2.1842034345000001</v>
      </c>
      <c r="F275" s="76">
        <f ca="1">IFERROR(__xludf.DUMMYFUNCTION("$C269*IMPORTRANGE(""https://docs.google.com/spreadsheets/d/1xsp01RMmkav9iTy39Zaj_7tE9677EGlOJ14KU9TZn7I/"",""2004-2017!AC411"")"),432.867564)</f>
        <v>432.86756400000002</v>
      </c>
      <c r="G275" s="73" t="s">
        <v>8</v>
      </c>
      <c r="K275" s="2"/>
      <c r="L275" s="3"/>
      <c r="M275" s="122"/>
      <c r="N275" s="122"/>
      <c r="O275" s="122"/>
      <c r="P275" s="122"/>
      <c r="Q275" s="2"/>
    </row>
    <row r="276" spans="1:17" ht="13.2" x14ac:dyDescent="0.25">
      <c r="A276" s="87" t="s">
        <v>274</v>
      </c>
      <c r="B276" s="90">
        <v>54</v>
      </c>
      <c r="C276" s="63">
        <f>2512.8/1000</f>
        <v>2.5128000000000004</v>
      </c>
      <c r="D276" s="72">
        <f ca="1">IFERROR(__xludf.DUMMYFUNCTION("$C270*IMPORTRANGE(""https://docs.google.com/spreadsheets/d/1xsp01RMmkav9iTy39Zaj_7tE9677EGlOJ14KU9TZn7I/"",""2004-2017!H433"")"),2.083412736)</f>
        <v>2.0834127360000001</v>
      </c>
      <c r="E276" s="72">
        <f ca="1">IFERROR(__xludf.DUMMYFUNCTION("$C270*IMPORTRANGE(""https://docs.google.com/spreadsheets/d/1xsp01RMmkav9iTy39Zaj_7tE9677EGlOJ14KU9TZn7I/"",""2004-2017!T433"")"),1.434255984)</f>
        <v>1.434255984</v>
      </c>
      <c r="F276" s="72">
        <f ca="1">IFERROR(__xludf.DUMMYFUNCTION("$C270*IMPORTRANGE(""https://docs.google.com/spreadsheets/d/1xsp01RMmkav9iTy39Zaj_7tE9677EGlOJ14KU9TZn7I/"",""2004-2017!AC433"")"),281.4587330256)</f>
        <v>281.4587330256</v>
      </c>
      <c r="G276" s="61" t="s">
        <v>8</v>
      </c>
      <c r="K276" s="2"/>
      <c r="L276" s="3"/>
      <c r="M276" s="122"/>
      <c r="N276" s="122"/>
      <c r="O276" s="122"/>
      <c r="P276" s="122"/>
      <c r="Q276" s="2"/>
    </row>
    <row r="277" spans="1:17" ht="13.2" x14ac:dyDescent="0.25">
      <c r="A277" s="88" t="s">
        <v>275</v>
      </c>
      <c r="B277" s="91">
        <v>59</v>
      </c>
      <c r="C277" s="75">
        <f>1278.8/1000</f>
        <v>1.2787999999999999</v>
      </c>
      <c r="D277" s="76">
        <f ca="1">IFERROR(__xludf.DUMMYFUNCTION("$C271*IMPORTRANGE(""https://docs.google.com/spreadsheets/d/1xsp01RMmkav9iTy39Zaj_7tE9677EGlOJ14KU9TZn7I/"",""2004-2017!H457"")"),1.039510944)</f>
        <v>1.0395109440000001</v>
      </c>
      <c r="E277" s="76">
        <f ca="1">IFERROR(__xludf.DUMMYFUNCTION("$C271*IMPORTRANGE(""https://docs.google.com/spreadsheets/d/1xsp01RMmkav9iTy39Zaj_7tE9677EGlOJ14KU9TZn7I/"",""2004-2017!T457"")"),0.711831232)</f>
        <v>0.71183123199999998</v>
      </c>
      <c r="F277" s="76">
        <f ca="1">IFERROR(__xludf.DUMMYFUNCTION("$C271*IMPORTRANGE(""https://docs.google.com/spreadsheets/d/1xsp01RMmkav9iTy39Zaj_7tE9677EGlOJ14KU9TZn7I/"",""2004-2017!AC457"")"),141.2562467212)</f>
        <v>141.2562467212</v>
      </c>
      <c r="G277" s="73" t="s">
        <v>8</v>
      </c>
      <c r="K277" s="2"/>
      <c r="L277" s="3"/>
      <c r="M277" s="122"/>
      <c r="N277" s="122"/>
      <c r="O277" s="122"/>
      <c r="P277" s="122"/>
      <c r="Q277" s="2"/>
    </row>
    <row r="278" spans="1:17" ht="13.2" x14ac:dyDescent="0.25">
      <c r="A278" s="87" t="s">
        <v>276</v>
      </c>
      <c r="B278" s="90">
        <v>68</v>
      </c>
      <c r="C278" s="63">
        <f>14220.5/1000</f>
        <v>14.220499999999999</v>
      </c>
      <c r="D278" s="72">
        <f ca="1">IFERROR(__xludf.DUMMYFUNCTION("$C272*IMPORTRANGE(""https://docs.google.com/spreadsheets/d/1xsp01RMmkav9iTy39Zaj_7tE9677EGlOJ14KU9TZn7I/"",""2004-2017!H480"")"),11.6190017299999)</f>
        <v>11.6190017299999</v>
      </c>
      <c r="E278" s="72">
        <f ca="1">IFERROR(__xludf.DUMMYFUNCTION("$C272*IMPORTRANGE(""https://docs.google.com/spreadsheets/d/1xsp01RMmkav9iTy39Zaj_7tE9677EGlOJ14KU9TZn7I/"",""2004-2017!T480"")"),7.86223004)</f>
        <v>7.86223004</v>
      </c>
      <c r="F278" s="72">
        <f ca="1">IFERROR(__xludf.DUMMYFUNCTION("$C272*IMPORTRANGE(""https://docs.google.com/spreadsheets/d/1xsp01RMmkav9iTy39Zaj_7tE9677EGlOJ14KU9TZn7I/"",""2004-2017!AC480"")"),1574.35154077949)</f>
        <v>1574.3515407794901</v>
      </c>
      <c r="G278" s="61" t="s">
        <v>8</v>
      </c>
      <c r="K278" s="2"/>
      <c r="L278" s="3"/>
      <c r="M278" s="122"/>
      <c r="N278" s="122"/>
      <c r="O278" s="122"/>
      <c r="P278" s="122"/>
      <c r="Q278" s="2"/>
    </row>
    <row r="279" spans="1:17" ht="13.2" x14ac:dyDescent="0.25">
      <c r="A279" s="88" t="s">
        <v>277</v>
      </c>
      <c r="B279" s="91">
        <v>49</v>
      </c>
      <c r="C279" s="75">
        <f>5548/1000</f>
        <v>5.548</v>
      </c>
      <c r="D279" s="76">
        <f ca="1">IFERROR(__xludf.DUMMYFUNCTION("$C273*IMPORTRANGE(""https://docs.google.com/spreadsheets/d/1xsp01RMmkav9iTy39Zaj_7tE9677EGlOJ14KU9TZn7I/"",""2004-2017!H502"")"),4.61643532)</f>
        <v>4.6164353199999999</v>
      </c>
      <c r="E279" s="76">
        <f ca="1">IFERROR(__xludf.DUMMYFUNCTION("$C273*IMPORTRANGE(""https://docs.google.com/spreadsheets/d/1xsp01RMmkav9iTy39Zaj_7tE9677EGlOJ14KU9TZn7I/"",""2004-2017!T502"")"),3.13678372)</f>
        <v>3.1367837199999999</v>
      </c>
      <c r="F279" s="76">
        <f ca="1">IFERROR(__xludf.DUMMYFUNCTION("$C273*IMPORTRANGE(""https://docs.google.com/spreadsheets/d/1xsp01RMmkav9iTy39Zaj_7tE9677EGlOJ14KU9TZn7I/"",""2004-2017!AC502"")"),638.574788904)</f>
        <v>638.574788904</v>
      </c>
      <c r="G279" s="73" t="s">
        <v>8</v>
      </c>
      <c r="K279" s="2"/>
      <c r="L279" s="3"/>
      <c r="M279" s="122"/>
      <c r="N279" s="122"/>
      <c r="O279" s="122"/>
      <c r="P279" s="122"/>
      <c r="Q279" s="2"/>
    </row>
    <row r="280" spans="1:17" ht="13.2" x14ac:dyDescent="0.25">
      <c r="A280" s="87" t="s">
        <v>278</v>
      </c>
      <c r="B280" s="90">
        <v>42</v>
      </c>
      <c r="C280" s="63">
        <f>1338.6/1000</f>
        <v>1.3386</v>
      </c>
      <c r="D280" s="72">
        <f ca="1">IFERROR(__xludf.DUMMYFUNCTION("$C274*IMPORTRANGE(""https://docs.google.com/spreadsheets/d/1xsp01RMmkav9iTy39Zaj_7tE9677EGlOJ14KU9TZn7I/"",""2004-2017!H525"")"),1.136618646)</f>
        <v>1.1366186460000001</v>
      </c>
      <c r="E280" s="72">
        <f ca="1">IFERROR(__xludf.DUMMYFUNCTION("$C274*IMPORTRANGE(""https://docs.google.com/spreadsheets/d/1xsp01RMmkav9iTy39Zaj_7tE9677EGlOJ14KU9TZn7I/"",""2004-2017!T525"")"),0.772057629)</f>
        <v>0.77205762899999997</v>
      </c>
      <c r="F280" s="72">
        <f ca="1">IFERROR(__xludf.DUMMYFUNCTION("$C274*IMPORTRANGE(""https://docs.google.com/spreadsheets/d/1xsp01RMmkav9iTy39Zaj_7tE9677EGlOJ14KU9TZn7I/"",""2004-2017!AC525"")"),159.0256793307)</f>
        <v>159.0256793307</v>
      </c>
      <c r="G280" s="61" t="s">
        <v>8</v>
      </c>
      <c r="K280" s="2"/>
      <c r="L280" s="3"/>
      <c r="M280" s="122"/>
      <c r="N280" s="122"/>
      <c r="O280" s="122"/>
      <c r="P280" s="122"/>
      <c r="Q280" s="2"/>
    </row>
    <row r="281" spans="1:17" ht="13.2" x14ac:dyDescent="0.25">
      <c r="A281" s="89" t="s">
        <v>279</v>
      </c>
      <c r="B281" s="92">
        <v>97</v>
      </c>
      <c r="C281" s="79">
        <f>4521.8/1000</f>
        <v>4.5217999999999998</v>
      </c>
      <c r="D281" s="80">
        <f ca="1">IFERROR(__xludf.DUMMYFUNCTION("$C275*IMPORTRANGE(""https://docs.google.com/spreadsheets/d/1xsp01RMmkav9iTy39Zaj_7tE9677EGlOJ14KU9TZn7I/"",""2004-2017!H548"")"),3.81617311)</f>
        <v>3.8161731099999998</v>
      </c>
      <c r="E281" s="80">
        <f ca="1">IFERROR(__xludf.DUMMYFUNCTION("$C275*IMPORTRANGE(""https://docs.google.com/spreadsheets/d/1xsp01RMmkav9iTy39Zaj_7tE9677EGlOJ14KU9TZn7I/"",""2004-2017!T548"")"),2.5955132)</f>
        <v>2.5955132000000001</v>
      </c>
      <c r="F281" s="80">
        <f ca="1">IFERROR(__xludf.DUMMYFUNCTION("$C275*IMPORTRANGE(""https://docs.google.com/spreadsheets/d/1xsp01RMmkav9iTy39Zaj_7tE9677EGlOJ14KU9TZn7I/"",""2004-2017!AC548"")"),532.5097747391)</f>
        <v>532.50977473909995</v>
      </c>
      <c r="G281" s="77" t="s">
        <v>8</v>
      </c>
      <c r="K281" s="2"/>
      <c r="L281" s="3"/>
      <c r="M281" s="122"/>
      <c r="N281" s="122"/>
      <c r="O281" s="122"/>
      <c r="P281" s="122"/>
      <c r="Q281" s="2"/>
    </row>
    <row r="282" spans="1:17" ht="13.2" x14ac:dyDescent="0.25">
      <c r="A282" s="58">
        <v>2006</v>
      </c>
      <c r="B282" s="59"/>
      <c r="C282" s="93"/>
      <c r="D282" s="93"/>
      <c r="E282" s="93"/>
      <c r="F282" s="93"/>
      <c r="G282" s="58"/>
      <c r="K282" s="2"/>
      <c r="L282" s="3"/>
      <c r="M282" s="122"/>
      <c r="N282" s="122"/>
      <c r="O282" s="122"/>
      <c r="P282" s="122"/>
      <c r="Q282" s="2"/>
    </row>
    <row r="283" spans="1:17" ht="13.2" x14ac:dyDescent="0.25">
      <c r="A283" s="87" t="s">
        <v>280</v>
      </c>
      <c r="B283" s="90">
        <v>49</v>
      </c>
      <c r="C283" s="63">
        <f>2140.3/1000</f>
        <v>2.1403000000000003</v>
      </c>
      <c r="D283" s="72">
        <f ca="1">IFERROR(__xludf.DUMMYFUNCTION("$C277*IMPORTRANGE(""https://docs.google.com/spreadsheets/d/1xsp01RMmkav9iTy39Zaj_7tE9677EGlOJ14KU9TZn7I/"",""2004-2017!H572"")"),1.767352725)</f>
        <v>1.7673527250000001</v>
      </c>
      <c r="E283" s="72">
        <f ca="1">IFERROR(__xludf.DUMMYFUNCTION("$C277*IMPORTRANGE(""https://docs.google.com/spreadsheets/d/1xsp01RMmkav9iTy39Zaj_7tE9677EGlOJ14KU9TZn7I/"",""2004-2017!T572"")"),1.2113348895)</f>
        <v>1.2113348895</v>
      </c>
      <c r="F283" s="72">
        <f ca="1">IFERROR(__xludf.DUMMYFUNCTION("$C277*IMPORTRANGE(""https://docs.google.com/spreadsheets/d/1xsp01RMmkav9iTy39Zaj_7tE9677EGlOJ14KU9TZn7I/"",""2004-2017!AC572"")"),246.95851228955)</f>
        <v>246.95851228954999</v>
      </c>
      <c r="G283" s="61" t="s">
        <v>8</v>
      </c>
      <c r="K283" s="2"/>
      <c r="L283" s="3"/>
      <c r="M283" s="122"/>
      <c r="N283" s="122"/>
      <c r="O283" s="122"/>
      <c r="P283" s="122"/>
      <c r="Q283" s="2"/>
    </row>
    <row r="284" spans="1:17" ht="13.2" x14ac:dyDescent="0.25">
      <c r="A284" s="88" t="s">
        <v>281</v>
      </c>
      <c r="B284" s="91">
        <v>76</v>
      </c>
      <c r="C284" s="75">
        <f>7857.3/1000</f>
        <v>7.8573000000000004</v>
      </c>
      <c r="D284" s="76">
        <f ca="1">IFERROR(__xludf.DUMMYFUNCTION("$C278*IMPORTRANGE(""https://docs.google.com/spreadsheets/d/1xsp01RMmkav9iTy39Zaj_7tE9677EGlOJ14KU9TZn7I/"",""2004-2017!H593"")"),6.5883853365)</f>
        <v>6.5883853365</v>
      </c>
      <c r="E284" s="76">
        <f ca="1">IFERROR(__xludf.DUMMYFUNCTION("$C278*IMPORTRANGE(""https://docs.google.com/spreadsheets/d/1xsp01RMmkav9iTy39Zaj_7tE9677EGlOJ14KU9TZn7I/"",""2004-2017!T593"")"),4.503411495)</f>
        <v>4.5034114949999999</v>
      </c>
      <c r="F284" s="76">
        <f ca="1">IFERROR(__xludf.DUMMYFUNCTION("$C278*IMPORTRANGE(""https://docs.google.com/spreadsheets/d/1xsp01RMmkav9iTy39Zaj_7tE9677EGlOJ14KU9TZn7I/"",""2004-2017!AC593"")"),926.80783328595)</f>
        <v>926.80783328594998</v>
      </c>
      <c r="G284" s="73" t="s">
        <v>8</v>
      </c>
      <c r="K284" s="2"/>
      <c r="L284" s="3"/>
      <c r="M284" s="122"/>
      <c r="N284" s="122"/>
      <c r="O284" s="122"/>
      <c r="P284" s="122"/>
      <c r="Q284" s="2"/>
    </row>
    <row r="285" spans="1:17" ht="13.2" x14ac:dyDescent="0.25">
      <c r="A285" s="87" t="s">
        <v>282</v>
      </c>
      <c r="B285" s="90">
        <v>64</v>
      </c>
      <c r="C285" s="63">
        <f>24580.4/1000</f>
        <v>24.580400000000001</v>
      </c>
      <c r="D285" s="72">
        <f ca="1">IFERROR(__xludf.DUMMYFUNCTION("$C279*IMPORTRANGE(""https://docs.google.com/spreadsheets/d/1xsp01RMmkav9iTy39Zaj_7tE9677EGlOJ14KU9TZn7I/"",""2004-2017!H617"")"),20.430982676)</f>
        <v>20.430982675999999</v>
      </c>
      <c r="E285" s="72">
        <f ca="1">IFERROR(__xludf.DUMMYFUNCTION("$C279*IMPORTRANGE(""https://docs.google.com/spreadsheets/d/1xsp01RMmkav9iTy39Zaj_7tE9677EGlOJ14KU9TZn7I/"",""2004-2017!T617"")"),14.071787392)</f>
        <v>14.071787391999999</v>
      </c>
      <c r="F285" s="72">
        <f ca="1">IFERROR(__xludf.DUMMYFUNCTION("$C279*IMPORTRANGE(""https://docs.google.com/spreadsheets/d/1xsp01RMmkav9iTy39Zaj_7tE9677EGlOJ14KU9TZn7I/"",""2004-2017!AC617"")"),2888.6885342588)</f>
        <v>2888.6885342587998</v>
      </c>
      <c r="G285" s="61" t="s">
        <v>8</v>
      </c>
      <c r="K285" s="2"/>
      <c r="L285" s="3"/>
      <c r="M285" s="122"/>
      <c r="N285" s="122"/>
      <c r="O285" s="122"/>
      <c r="P285" s="122"/>
      <c r="Q285" s="2"/>
    </row>
    <row r="286" spans="1:17" ht="13.2" x14ac:dyDescent="0.25">
      <c r="A286" s="88" t="s">
        <v>283</v>
      </c>
      <c r="B286" s="91">
        <v>60</v>
      </c>
      <c r="C286" s="75">
        <f>5602.4/1000</f>
        <v>5.6023999999999994</v>
      </c>
      <c r="D286" s="76">
        <f ca="1">IFERROR(__xludf.DUMMYFUNCTION("$C280*IMPORTRANGE(""https://docs.google.com/spreadsheets/d/1xsp01RMmkav9iTy39Zaj_7tE9677EGlOJ14KU9TZn7I/"",""2004-2017!H638"")"),4.564443352)</f>
        <v>4.5644433519999996</v>
      </c>
      <c r="E286" s="76">
        <f ca="1">IFERROR(__xludf.DUMMYFUNCTION("$C280*IMPORTRANGE(""https://docs.google.com/spreadsheets/d/1xsp01RMmkav9iTy39Zaj_7tE9677EGlOJ14KU9TZn7I/"",""2004-2017!T638"")"),3.17843760399999)</f>
        <v>3.1784376039999902</v>
      </c>
      <c r="F286" s="76">
        <f ca="1">IFERROR(__xludf.DUMMYFUNCTION("$C280*IMPORTRANGE(""https://docs.google.com/spreadsheets/d/1xsp01RMmkav9iTy39Zaj_7tE9677EGlOJ14KU9TZn7I/"",""2004-2017!AC638"")"),657.945867204799)</f>
        <v>657.94586720479901</v>
      </c>
      <c r="G286" s="73" t="s">
        <v>8</v>
      </c>
      <c r="K286" s="2"/>
      <c r="L286" s="3"/>
      <c r="M286" s="122"/>
      <c r="N286" s="122"/>
      <c r="O286" s="122"/>
      <c r="P286" s="122"/>
      <c r="Q286" s="2"/>
    </row>
    <row r="287" spans="1:17" ht="13.2" x14ac:dyDescent="0.25">
      <c r="A287" s="87" t="s">
        <v>284</v>
      </c>
      <c r="B287" s="90">
        <v>57</v>
      </c>
      <c r="C287" s="63">
        <f>1448.9/1000</f>
        <v>1.4489000000000001</v>
      </c>
      <c r="D287" s="72">
        <f ca="1">IFERROR(__xludf.DUMMYFUNCTION("$C281*IMPORTRANGE(""https://docs.google.com/spreadsheets/d/1xsp01RMmkav9iTy39Zaj_7tE9677EGlOJ14KU9TZn7I/"",""2004-2017!H662"")"),1.134256876)</f>
        <v>1.134256876</v>
      </c>
      <c r="E287" s="72">
        <f ca="1">IFERROR(__xludf.DUMMYFUNCTION("$C281*IMPORTRANGE(""https://docs.google.com/spreadsheets/d/1xsp01RMmkav9iTy39Zaj_7tE9677EGlOJ14KU9TZn7I/"",""2004-2017!T662"")"),0.77414727)</f>
        <v>0.77414727000000005</v>
      </c>
      <c r="F287" s="72">
        <f ca="1">IFERROR(__xludf.DUMMYFUNCTION("$C281*IMPORTRANGE(""https://docs.google.com/spreadsheets/d/1xsp01RMmkav9iTy39Zaj_7tE9677EGlOJ14KU9TZn7I/"",""2004-2017!AC662"")"),161.9290668978)</f>
        <v>161.9290668978</v>
      </c>
      <c r="G287" s="61" t="s">
        <v>8</v>
      </c>
      <c r="K287" s="2"/>
      <c r="L287" s="3"/>
      <c r="M287" s="122"/>
      <c r="N287" s="122"/>
      <c r="O287" s="122"/>
      <c r="P287" s="122"/>
      <c r="Q287" s="2"/>
    </row>
    <row r="288" spans="1:17" ht="13.2" x14ac:dyDescent="0.25">
      <c r="A288" s="88" t="s">
        <v>285</v>
      </c>
      <c r="B288" s="91">
        <v>66</v>
      </c>
      <c r="C288" s="75">
        <f>3624.1/1000</f>
        <v>3.6240999999999999</v>
      </c>
      <c r="D288" s="76">
        <f ca="1">IFERROR(__xludf.DUMMYFUNCTION("$C282*IMPORTRANGE(""https://docs.google.com/spreadsheets/d/1xsp01RMmkav9iTy39Zaj_7tE9677EGlOJ14KU9TZn7I/"",""2004-2017!H685"")"),2.867061751)</f>
        <v>2.867061751</v>
      </c>
      <c r="E288" s="76">
        <f ca="1">IFERROR(__xludf.DUMMYFUNCTION("$C282*IMPORTRANGE(""https://docs.google.com/spreadsheets/d/1xsp01RMmkav9iTy39Zaj_7tE9677EGlOJ14KU9TZn7I/"",""2004-2017!T685"")"),1.966146732)</f>
        <v>1.9661467319999999</v>
      </c>
      <c r="F288" s="76">
        <f ca="1">IFERROR(__xludf.DUMMYFUNCTION("$C282*IMPORTRANGE(""https://docs.google.com/spreadsheets/d/1xsp01RMmkav9iTy39Zaj_7tE9677EGlOJ14KU9TZn7I/"",""2004-2017!AC685"")"),416.218824749999)</f>
        <v>416.21882474999899</v>
      </c>
      <c r="G288" s="73" t="s">
        <v>8</v>
      </c>
      <c r="K288" s="2"/>
      <c r="L288" s="3"/>
      <c r="M288" s="122"/>
      <c r="N288" s="122"/>
      <c r="O288" s="122"/>
      <c r="P288" s="122"/>
      <c r="Q288" s="2"/>
    </row>
    <row r="289" spans="1:17" ht="13.2" x14ac:dyDescent="0.25">
      <c r="A289" s="87" t="s">
        <v>286</v>
      </c>
      <c r="B289" s="90">
        <v>63</v>
      </c>
      <c r="C289" s="63">
        <f>2725.7/1000</f>
        <v>2.7256999999999998</v>
      </c>
      <c r="D289" s="72">
        <f ca="1">IFERROR(__xludf.DUMMYFUNCTION("$C283*IMPORTRANGE(""https://docs.google.com/spreadsheets/d/1xsp01RMmkav9iTy39Zaj_7tE9677EGlOJ14KU9TZn7I/"",""2004-2017!H707"")"),2.144199162)</f>
        <v>2.144199162</v>
      </c>
      <c r="E289" s="72">
        <f ca="1">IFERROR(__xludf.DUMMYFUNCTION("$C283*IMPORTRANGE(""https://docs.google.com/spreadsheets/d/1xsp01RMmkav9iTy39Zaj_7tE9677EGlOJ14KU9TZn7I/"",""2004-2017!T707"")"),1.47782002599999)</f>
        <v>1.4778200259999901</v>
      </c>
      <c r="F289" s="72">
        <f ca="1">IFERROR(__xludf.DUMMYFUNCTION("$C283*IMPORTRANGE(""https://docs.google.com/spreadsheets/d/1xsp01RMmkav9iTy39Zaj_7tE9677EGlOJ14KU9TZn7I/"",""2004-2017!AC707"")"),315.009149)</f>
        <v>315.00914899999998</v>
      </c>
      <c r="G289" s="61" t="s">
        <v>8</v>
      </c>
      <c r="K289" s="2"/>
      <c r="L289" s="3"/>
      <c r="M289" s="122"/>
      <c r="N289" s="122"/>
      <c r="O289" s="122"/>
      <c r="P289" s="122"/>
      <c r="Q289" s="2"/>
    </row>
    <row r="290" spans="1:17" ht="13.2" x14ac:dyDescent="0.25">
      <c r="A290" s="88" t="s">
        <v>287</v>
      </c>
      <c r="B290" s="91">
        <v>68</v>
      </c>
      <c r="C290" s="75">
        <f>3278.3/1000</f>
        <v>3.2783000000000002</v>
      </c>
      <c r="D290" s="76">
        <f ca="1">IFERROR(__xludf.DUMMYFUNCTION("$C284*IMPORTRANGE(""https://docs.google.com/spreadsheets/d/1xsp01RMmkav9iTy39Zaj_7tE9677EGlOJ14KU9TZn7I/"",""2004-2017!H731"")"),2.55936881)</f>
        <v>2.55936881</v>
      </c>
      <c r="E290" s="76">
        <f ca="1">IFERROR(__xludf.DUMMYFUNCTION("$C284*IMPORTRANGE(""https://docs.google.com/spreadsheets/d/1xsp01RMmkav9iTy39Zaj_7tE9677EGlOJ14KU9TZn7I/"",""2004-2017!T731"")"),1.732614333)</f>
        <v>1.7326143329999999</v>
      </c>
      <c r="F290" s="76">
        <f ca="1">IFERROR(__xludf.DUMMYFUNCTION("$C284*IMPORTRANGE(""https://docs.google.com/spreadsheets/d/1xsp01RMmkav9iTy39Zaj_7tE9677EGlOJ14KU9TZn7I/"",""2004-2017!AC731"")"),380.0861085566)</f>
        <v>380.08610855659998</v>
      </c>
      <c r="G290" s="73" t="s">
        <v>8</v>
      </c>
      <c r="K290" s="2"/>
      <c r="L290" s="3"/>
      <c r="M290" s="122"/>
      <c r="N290" s="122"/>
      <c r="O290" s="122"/>
      <c r="P290" s="122"/>
      <c r="Q290" s="2"/>
    </row>
    <row r="291" spans="1:17" ht="13.2" x14ac:dyDescent="0.25">
      <c r="A291" s="87" t="s">
        <v>288</v>
      </c>
      <c r="B291" s="90">
        <v>84</v>
      </c>
      <c r="C291" s="63">
        <f>2709.1/1000</f>
        <v>2.7090999999999998</v>
      </c>
      <c r="D291" s="72">
        <f ca="1">IFERROR(__xludf.DUMMYFUNCTION("$C285*IMPORTRANGE(""https://docs.google.com/spreadsheets/d/1xsp01RMmkav9iTy39Zaj_7tE9677EGlOJ14KU9TZn7I/"",""2004-2017!H753"")"),2.131980427)</f>
        <v>2.1319804269999998</v>
      </c>
      <c r="E291" s="72">
        <f ca="1">IFERROR(__xludf.DUMMYFUNCTION("$C285*IMPORTRANGE(""https://docs.google.com/spreadsheets/d/1xsp01RMmkav9iTy39Zaj_7tE9677EGlOJ14KU9TZn7I/"",""2004-2017!T753"")"),1.436500275)</f>
        <v>1.436500275</v>
      </c>
      <c r="F291" s="72">
        <f ca="1">IFERROR(__xludf.DUMMYFUNCTION("$C285*IMPORTRANGE(""https://docs.google.com/spreadsheets/d/1xsp01RMmkav9iTy39Zaj_7tE9677EGlOJ14KU9TZn7I/"",""2004-2017!AC753"")"),318.1567094182)</f>
        <v>318.15670941820002</v>
      </c>
      <c r="G291" s="61" t="s">
        <v>8</v>
      </c>
      <c r="K291" s="2"/>
      <c r="L291" s="3"/>
      <c r="M291" s="122"/>
      <c r="N291" s="122"/>
      <c r="O291" s="122"/>
      <c r="P291" s="122"/>
      <c r="Q291" s="2"/>
    </row>
    <row r="292" spans="1:17" ht="13.2" x14ac:dyDescent="0.25">
      <c r="A292" s="88" t="s">
        <v>289</v>
      </c>
      <c r="B292" s="94">
        <v>86</v>
      </c>
      <c r="C292" s="75">
        <f>3521.5/1000</f>
        <v>3.5215000000000001</v>
      </c>
      <c r="D292" s="76">
        <f ca="1">IFERROR(__xludf.DUMMYFUNCTION("$C286*IMPORTRANGE(""https://docs.google.com/spreadsheets/d/1xsp01RMmkav9iTy39Zaj_7tE9677EGlOJ14KU9TZn7I/"",""2004-2017!H776"")"),2.79261993)</f>
        <v>2.7926199299999999</v>
      </c>
      <c r="E292" s="76">
        <f ca="1">IFERROR(__xludf.DUMMYFUNCTION("$C286*IMPORTRANGE(""https://docs.google.com/spreadsheets/d/1xsp01RMmkav9iTy39Zaj_7tE9677EGlOJ14KU9TZn7I/"",""2004-2017!T776"")"),1.877839875)</f>
        <v>1.877839875</v>
      </c>
      <c r="F292" s="76">
        <f ca="1">IFERROR(__xludf.DUMMYFUNCTION("$C286*IMPORTRANGE(""https://docs.google.com/spreadsheets/d/1xsp01RMmkav9iTy39Zaj_7tE9677EGlOJ14KU9TZn7I/"",""2004-2017!AC776"")"),418.42462823925)</f>
        <v>418.42462823925001</v>
      </c>
      <c r="G292" s="73" t="s">
        <v>8</v>
      </c>
      <c r="K292" s="2"/>
      <c r="L292" s="3"/>
      <c r="M292" s="122"/>
      <c r="N292" s="122"/>
      <c r="O292" s="122"/>
      <c r="P292" s="122"/>
      <c r="Q292" s="2"/>
    </row>
    <row r="293" spans="1:17" ht="13.2" x14ac:dyDescent="0.25">
      <c r="A293" s="87" t="s">
        <v>290</v>
      </c>
      <c r="B293" s="90">
        <v>85</v>
      </c>
      <c r="C293" s="63">
        <f>18153.4/1000</f>
        <v>18.153400000000001</v>
      </c>
      <c r="D293" s="72">
        <f ca="1">IFERROR(__xludf.DUMMYFUNCTION("$C287*IMPORTRANGE(""https://docs.google.com/spreadsheets/d/1xsp01RMmkav9iTy39Zaj_7tE9677EGlOJ14KU9TZn7I/"",""2004-2017!H799"")"),14.150030698)</f>
        <v>14.150030698</v>
      </c>
      <c r="E293" s="72">
        <f ca="1">IFERROR(__xludf.DUMMYFUNCTION("$C287*IMPORTRANGE(""https://docs.google.com/spreadsheets/d/1xsp01RMmkav9iTy39Zaj_7tE9677EGlOJ14KU9TZn7I/"",""2004-2017!T799"")"),9.523092106)</f>
        <v>9.523092106</v>
      </c>
      <c r="F293" s="72">
        <f ca="1">IFERROR(__xludf.DUMMYFUNCTION("$C287*IMPORTRANGE(""https://docs.google.com/spreadsheets/d/1xsp01RMmkav9iTy39Zaj_7tE9677EGlOJ14KU9TZn7I/"",""2004-2017!AC799"")"),2134.2044437699)</f>
        <v>2134.2044437699001</v>
      </c>
      <c r="G293" s="61" t="s">
        <v>8</v>
      </c>
      <c r="K293" s="2"/>
      <c r="L293" s="3"/>
      <c r="M293" s="122"/>
      <c r="N293" s="122"/>
      <c r="O293" s="122"/>
      <c r="P293" s="122"/>
      <c r="Q293" s="2"/>
    </row>
    <row r="294" spans="1:17" ht="13.2" x14ac:dyDescent="0.25">
      <c r="A294" s="89" t="s">
        <v>291</v>
      </c>
      <c r="B294" s="92">
        <v>117</v>
      </c>
      <c r="C294" s="79">
        <f>8144.1/1000</f>
        <v>8.1440999999999999</v>
      </c>
      <c r="D294" s="80">
        <f ca="1">IFERROR(__xludf.DUMMYFUNCTION("$C288*IMPORTRANGE(""https://docs.google.com/spreadsheets/d/1xsp01RMmkav9iTy39Zaj_7tE9677EGlOJ14KU9TZn7I/"",""2004-2017!H821"")"),6.170703129)</f>
        <v>6.1707031289999996</v>
      </c>
      <c r="E294" s="80">
        <f ca="1">IFERROR(__xludf.DUMMYFUNCTION("$C288*IMPORTRANGE(""https://docs.google.com/spreadsheets/d/1xsp01RMmkav9iTy39Zaj_7tE9677EGlOJ14KU9TZn7I/"",""2004-2017!T821"")"),4.150477683)</f>
        <v>4.1504776830000001</v>
      </c>
      <c r="F294" s="80">
        <f ca="1">IFERROR(__xludf.DUMMYFUNCTION("$C288*IMPORTRANGE(""https://docs.google.com/spreadsheets/d/1xsp01RMmkav9iTy39Zaj_7tE9677EGlOJ14KU9TZn7I/"",""2004-2017!AC821"")"),961.0852572882)</f>
        <v>961.08525728819995</v>
      </c>
      <c r="G294" s="77" t="s">
        <v>8</v>
      </c>
      <c r="K294" s="2"/>
      <c r="L294" s="3"/>
      <c r="M294" s="122"/>
      <c r="N294" s="122"/>
      <c r="O294" s="122"/>
      <c r="P294" s="122"/>
      <c r="Q294" s="2"/>
    </row>
    <row r="295" spans="1:17" ht="13.2" x14ac:dyDescent="0.25">
      <c r="A295" s="58">
        <v>2007</v>
      </c>
      <c r="B295" s="59"/>
      <c r="C295" s="93"/>
      <c r="D295" s="93"/>
      <c r="E295" s="93"/>
      <c r="F295" s="93"/>
      <c r="G295" s="58"/>
      <c r="K295" s="2"/>
      <c r="L295" s="3"/>
      <c r="M295" s="122"/>
      <c r="N295" s="122"/>
      <c r="O295" s="122"/>
      <c r="P295" s="122"/>
      <c r="Q295" s="2"/>
    </row>
    <row r="296" spans="1:17" ht="13.2" x14ac:dyDescent="0.25">
      <c r="A296" s="87" t="s">
        <v>292</v>
      </c>
      <c r="B296" s="90">
        <v>78</v>
      </c>
      <c r="C296" s="63">
        <f>2617.1/1000</f>
        <v>2.6170999999999998</v>
      </c>
      <c r="D296" s="72">
        <f ca="1">IFERROR(__xludf.DUMMYFUNCTION("$C290*IMPORTRANGE(""https://docs.google.com/spreadsheets/d/1xsp01RMmkav9iTy39Zaj_7tE9677EGlOJ14KU9TZn7I/"",""2004-2017!H846"")"),2.01890945299999)</f>
        <v>2.0189094529999898</v>
      </c>
      <c r="E296" s="72">
        <f ca="1">IFERROR(__xludf.DUMMYFUNCTION("$C290*IMPORTRANGE(""https://docs.google.com/spreadsheets/d/1xsp01RMmkav9iTy39Zaj_7tE9677EGlOJ14KU9TZn7I/"",""2004-2017!T846"")"),1.33383118599999)</f>
        <v>1.3338311859999901</v>
      </c>
      <c r="F296" s="72">
        <f ca="1">IFERROR(__xludf.DUMMYFUNCTION("$C290*IMPORTRANGE(""https://docs.google.com/spreadsheets/d/1xsp01RMmkav9iTy39Zaj_7tE9677EGlOJ14KU9TZn7I/"",""2004-2017!AC846"")"),315.6746098513)</f>
        <v>315.67460985129998</v>
      </c>
      <c r="G296" s="61" t="s">
        <v>8</v>
      </c>
      <c r="K296" s="2"/>
      <c r="L296" s="3"/>
      <c r="M296" s="122"/>
      <c r="N296" s="122"/>
      <c r="O296" s="122"/>
      <c r="P296" s="122"/>
      <c r="Q296" s="2"/>
    </row>
    <row r="297" spans="1:17" ht="13.2" x14ac:dyDescent="0.25">
      <c r="A297" s="88" t="s">
        <v>293</v>
      </c>
      <c r="B297" s="91">
        <v>76</v>
      </c>
      <c r="C297" s="75">
        <f>7482.7/1000</f>
        <v>7.4826999999999995</v>
      </c>
      <c r="D297" s="76">
        <f ca="1">IFERROR(__xludf.DUMMYFUNCTION("$C291*IMPORTRANGE(""https://docs.google.com/spreadsheets/d/1xsp01RMmkav9iTy39Zaj_7tE9677EGlOJ14KU9TZn7I/"",""2004-2017!H867"")"),5.698899147)</f>
        <v>5.6988991469999997</v>
      </c>
      <c r="E297" s="76">
        <f ca="1">IFERROR(__xludf.DUMMYFUNCTION("$C291*IMPORTRANGE(""https://docs.google.com/spreadsheets/d/1xsp01RMmkav9iTy39Zaj_7tE9677EGlOJ14KU9TZn7I/"",""2004-2017!T867"")"),3.81430632499999)</f>
        <v>3.8143063249999898</v>
      </c>
      <c r="F297" s="76">
        <f ca="1">IFERROR(__xludf.DUMMYFUNCTION("$C291*IMPORTRANGE(""https://docs.google.com/spreadsheets/d/1xsp01RMmkav9iTy39Zaj_7tE9677EGlOJ14KU9TZn7I/"",""2004-2017!AC867"")"),902.5071462673)</f>
        <v>902.50714626729996</v>
      </c>
      <c r="G297" s="73" t="s">
        <v>8</v>
      </c>
      <c r="K297" s="2"/>
      <c r="L297" s="3"/>
      <c r="M297" s="122"/>
      <c r="N297" s="122"/>
      <c r="O297" s="122"/>
      <c r="P297" s="122"/>
      <c r="Q297" s="2"/>
    </row>
    <row r="298" spans="1:17" ht="13.2" x14ac:dyDescent="0.25">
      <c r="A298" s="87" t="s">
        <v>294</v>
      </c>
      <c r="B298" s="90">
        <v>92</v>
      </c>
      <c r="C298" s="63">
        <f>3041.8/1000</f>
        <v>3.0418000000000003</v>
      </c>
      <c r="D298" s="72">
        <f ca="1">IFERROR(__xludf.DUMMYFUNCTION("$C292*IMPORTRANGE(""https://docs.google.com/spreadsheets/d/1xsp01RMmkav9iTy39Zaj_7tE9677EGlOJ14KU9TZn7I/"",""2004-2017!H890"")"),2.288787201)</f>
        <v>2.2887872009999999</v>
      </c>
      <c r="E298" s="72">
        <f ca="1">IFERROR(__xludf.DUMMYFUNCTION("$C292*IMPORTRANGE(""https://docs.google.com/spreadsheets/d/1xsp01RMmkav9iTy39Zaj_7tE9677EGlOJ14KU9TZn7I/"",""2004-2017!T890"")"),1.564382531)</f>
        <v>1.5643825309999999</v>
      </c>
      <c r="F298" s="72">
        <f ca="1">IFERROR(__xludf.DUMMYFUNCTION("$C292*IMPORTRANGE(""https://docs.google.com/spreadsheets/d/1xsp01RMmkav9iTy39Zaj_7tE9677EGlOJ14KU9TZn7I/"",""2004-2017!AC890"")"),356.9096121254)</f>
        <v>356.90961212539997</v>
      </c>
      <c r="G298" s="61" t="s">
        <v>8</v>
      </c>
      <c r="K298" s="2"/>
      <c r="L298" s="3"/>
      <c r="M298" s="122"/>
      <c r="N298" s="122"/>
      <c r="O298" s="122"/>
      <c r="P298" s="122"/>
      <c r="Q298" s="2"/>
    </row>
    <row r="299" spans="1:17" ht="13.2" x14ac:dyDescent="0.25">
      <c r="A299" s="88" t="s">
        <v>295</v>
      </c>
      <c r="B299" s="91">
        <v>96</v>
      </c>
      <c r="C299" s="75">
        <f>3303.3/1000</f>
        <v>3.3033000000000001</v>
      </c>
      <c r="D299" s="76">
        <f ca="1">IFERROR(__xludf.DUMMYFUNCTION("$C293*IMPORTRANGE(""https://docs.google.com/spreadsheets/d/1xsp01RMmkav9iTy39Zaj_7tE9677EGlOJ14KU9TZn7I/"",""2004-2017!H912"")"),2.441634195)</f>
        <v>2.4416341949999998</v>
      </c>
      <c r="E299" s="76">
        <f ca="1">IFERROR(__xludf.DUMMYFUNCTION("$C293*IMPORTRANGE(""https://docs.google.com/spreadsheets/d/1xsp01RMmkav9iTy39Zaj_7tE9677EGlOJ14KU9TZn7I/"",""2004-2017!T912"")"),1.66103137199999)</f>
        <v>1.6610313719999901</v>
      </c>
      <c r="F299" s="76">
        <f ca="1">IFERROR(__xludf.DUMMYFUNCTION("$C293*IMPORTRANGE(""https://docs.google.com/spreadsheets/d/1xsp01RMmkav9iTy39Zaj_7tE9677EGlOJ14KU9TZn7I/"",""2004-2017!AC912"")"),392.9275250901)</f>
        <v>392.9275250901</v>
      </c>
      <c r="G299" s="73" t="s">
        <v>8</v>
      </c>
      <c r="K299" s="2"/>
      <c r="L299" s="3"/>
      <c r="M299" s="122"/>
      <c r="N299" s="122"/>
      <c r="O299" s="122"/>
      <c r="P299" s="122"/>
      <c r="Q299" s="2"/>
    </row>
    <row r="300" spans="1:17" ht="13.2" x14ac:dyDescent="0.25">
      <c r="A300" s="87" t="s">
        <v>296</v>
      </c>
      <c r="B300" s="90">
        <v>105</v>
      </c>
      <c r="C300" s="63">
        <f>13039.8/1000</f>
        <v>13.0398</v>
      </c>
      <c r="D300" s="72">
        <f ca="1">IFERROR(__xludf.DUMMYFUNCTION("$C294*IMPORTRANGE(""https://docs.google.com/spreadsheets/d/1xsp01RMmkav9iTy39Zaj_7tE9677EGlOJ14KU9TZn7I/"",""2004-2017!H936"")"),9.64984319399999)</f>
        <v>9.64984319399999</v>
      </c>
      <c r="E300" s="72">
        <f ca="1">IFERROR(__xludf.DUMMYFUNCTION("$C294*IMPORTRANGE(""https://docs.google.com/spreadsheets/d/1xsp01RMmkav9iTy39Zaj_7tE9677EGlOJ14KU9TZn7I/"",""2004-2017!T936"")"),6.576753528)</f>
        <v>6.5767535280000002</v>
      </c>
      <c r="F300" s="72">
        <f ca="1">IFERROR(__xludf.DUMMYFUNCTION("$C294*IMPORTRANGE(""https://docs.google.com/spreadsheets/d/1xsp01RMmkav9iTy39Zaj_7tE9677EGlOJ14KU9TZn7I/"",""2004-2017!AC936"")"),1574.1646690398)</f>
        <v>1574.1646690397999</v>
      </c>
      <c r="G300" s="61" t="s">
        <v>8</v>
      </c>
      <c r="K300" s="2"/>
      <c r="L300" s="3"/>
      <c r="M300" s="122"/>
      <c r="N300" s="122"/>
      <c r="O300" s="122"/>
      <c r="P300" s="122"/>
      <c r="Q300" s="2"/>
    </row>
    <row r="301" spans="1:17" ht="13.2" x14ac:dyDescent="0.25">
      <c r="A301" s="88" t="s">
        <v>297</v>
      </c>
      <c r="B301" s="91">
        <v>93</v>
      </c>
      <c r="C301" s="75">
        <f>3013.2/1000</f>
        <v>3.0131999999999999</v>
      </c>
      <c r="D301" s="76">
        <f ca="1">IFERROR(__xludf.DUMMYFUNCTION("$C295*IMPORTRANGE(""https://docs.google.com/spreadsheets/d/1xsp01RMmkav9iTy39Zaj_7tE9677EGlOJ14KU9TZn7I/"",""2004-2017!H958"")"),2.243960172)</f>
        <v>2.243960172</v>
      </c>
      <c r="E301" s="76">
        <f ca="1">IFERROR(__xludf.DUMMYFUNCTION("$C295*IMPORTRANGE(""https://docs.google.com/spreadsheets/d/1xsp01RMmkav9iTy39Zaj_7tE9677EGlOJ14KU9TZn7I/"",""2004-2017!T958"")"),1.51295785199999)</f>
        <v>1.51295785199999</v>
      </c>
      <c r="F301" s="76">
        <f ca="1">IFERROR(__xludf.DUMMYFUNCTION("$C295*IMPORTRANGE(""https://docs.google.com/spreadsheets/d/1xsp01RMmkav9iTy39Zaj_7tE9677EGlOJ14KU9TZn7I/"",""2004-2017!AC958"")"),370.7441310132)</f>
        <v>370.74413101319999</v>
      </c>
      <c r="G301" s="73" t="s">
        <v>8</v>
      </c>
      <c r="K301" s="2"/>
      <c r="L301" s="3"/>
      <c r="M301" s="122"/>
      <c r="N301" s="122"/>
      <c r="O301" s="122"/>
      <c r="P301" s="122"/>
      <c r="Q301" s="2"/>
    </row>
    <row r="302" spans="1:17" ht="13.2" x14ac:dyDescent="0.25">
      <c r="A302" s="87" t="s">
        <v>298</v>
      </c>
      <c r="B302" s="90">
        <v>103</v>
      </c>
      <c r="C302" s="63">
        <f>5666.2/1000</f>
        <v>5.6661999999999999</v>
      </c>
      <c r="D302" s="72">
        <f ca="1">IFERROR(__xludf.DUMMYFUNCTION("$C296*IMPORTRANGE(""https://docs.google.com/spreadsheets/d/1xsp01RMmkav9iTy39Zaj_7tE9677EGlOJ14KU9TZn7I/"",""2004-2017!H981"")"),4.120262323)</f>
        <v>4.1202623230000004</v>
      </c>
      <c r="E302" s="72">
        <f ca="1">IFERROR(__xludf.DUMMYFUNCTION("$C296*IMPORTRANGE(""https://docs.google.com/spreadsheets/d/1xsp01RMmkav9iTy39Zaj_7tE9677EGlOJ14KU9TZn7I/"",""2004-2017!T981"")"),2.78992355599999)</f>
        <v>2.78992355599999</v>
      </c>
      <c r="F302" s="72">
        <f ca="1">IFERROR(__xludf.DUMMYFUNCTION("$C296*IMPORTRANGE(""https://docs.google.com/spreadsheets/d/1xsp01RMmkav9iTy39Zaj_7tE9677EGlOJ14KU9TZn7I/"",""2004-2017!AC981"")"),690.7097913324)</f>
        <v>690.70979133239996</v>
      </c>
      <c r="G302" s="61" t="s">
        <v>8</v>
      </c>
      <c r="K302" s="2"/>
      <c r="L302" s="3"/>
      <c r="M302" s="122"/>
      <c r="N302" s="122"/>
      <c r="O302" s="122"/>
      <c r="P302" s="122"/>
      <c r="Q302" s="2"/>
    </row>
    <row r="303" spans="1:17" ht="13.2" x14ac:dyDescent="0.25">
      <c r="A303" s="88" t="s">
        <v>299</v>
      </c>
      <c r="B303" s="91">
        <v>91</v>
      </c>
      <c r="C303" s="75">
        <f>11875.5/1000</f>
        <v>11.875500000000001</v>
      </c>
      <c r="D303" s="76">
        <f ca="1">IFERROR(__xludf.DUMMYFUNCTION("$C297*IMPORTRANGE(""https://docs.google.com/spreadsheets/d/1xsp01RMmkav9iTy39Zaj_7tE9677EGlOJ14KU9TZn7I/"",""2004-2017!H1005"")"),8.705097765)</f>
        <v>8.7050977649999997</v>
      </c>
      <c r="E303" s="76">
        <f ca="1">IFERROR(__xludf.DUMMYFUNCTION("$C297*IMPORTRANGE(""https://docs.google.com/spreadsheets/d/1xsp01RMmkav9iTy39Zaj_7tE9677EGlOJ14KU9TZn7I/"",""2004-2017!T1005"")"),5.89761081)</f>
        <v>5.8976108099999998</v>
      </c>
      <c r="F303" s="76">
        <f ca="1">IFERROR(__xludf.DUMMYFUNCTION("$C297*IMPORTRANGE(""https://docs.google.com/spreadsheets/d/1xsp01RMmkav9iTy39Zaj_7tE9677EGlOJ14KU9TZn7I/"",""2004-2017!AC1005"")"),1381.35816)</f>
        <v>1381.35816</v>
      </c>
      <c r="G303" s="73" t="s">
        <v>8</v>
      </c>
      <c r="K303" s="2"/>
      <c r="L303" s="3"/>
      <c r="M303" s="122"/>
      <c r="N303" s="122"/>
      <c r="O303" s="122"/>
      <c r="P303" s="122"/>
      <c r="Q303" s="2"/>
    </row>
    <row r="304" spans="1:17" ht="13.2" x14ac:dyDescent="0.25">
      <c r="A304" s="87" t="s">
        <v>300</v>
      </c>
      <c r="B304" s="90">
        <v>75</v>
      </c>
      <c r="C304" s="63">
        <f>1214.2/1000</f>
        <v>1.2141999999999999</v>
      </c>
      <c r="D304" s="72">
        <f ca="1">IFERROR(__xludf.DUMMYFUNCTION("$C298*IMPORTRANGE(""https://docs.google.com/spreadsheets/d/1xsp01RMmkav9iTy39Zaj_7tE9677EGlOJ14KU9TZn7I/"",""2004-2017!H1026"")"),0.873021942)</f>
        <v>0.87302194200000005</v>
      </c>
      <c r="E304" s="72">
        <f ca="1">IFERROR(__xludf.DUMMYFUNCTION("$C298*IMPORTRANGE(""https://docs.google.com/spreadsheets/d/1xsp01RMmkav9iTy39Zaj_7tE9677EGlOJ14KU9TZn7I/"",""2004-2017!T1026"")"),0.601417543999999)</f>
        <v>0.60141754399999903</v>
      </c>
      <c r="F304" s="72">
        <f ca="1">IFERROR(__xludf.DUMMYFUNCTION("$C298*IMPORTRANGE(""https://docs.google.com/spreadsheets/d/1xsp01RMmkav9iTy39Zaj_7tE9677EGlOJ14KU9TZn7I/"",""2004-2017!AC1026"")"),139.778707642599)</f>
        <v>139.77870764259899</v>
      </c>
      <c r="G304" s="61" t="s">
        <v>8</v>
      </c>
      <c r="K304" s="2"/>
      <c r="L304" s="3"/>
      <c r="M304" s="122"/>
      <c r="N304" s="122"/>
      <c r="O304" s="122"/>
      <c r="P304" s="122"/>
      <c r="Q304" s="2"/>
    </row>
    <row r="305" spans="1:17" ht="13.2" x14ac:dyDescent="0.25">
      <c r="A305" s="88" t="s">
        <v>301</v>
      </c>
      <c r="B305" s="91">
        <v>86</v>
      </c>
      <c r="C305" s="75">
        <f>4978.29/1000</f>
        <v>4.9782900000000003</v>
      </c>
      <c r="D305" s="76">
        <f ca="1">IFERROR(__xludf.DUMMYFUNCTION("$C299*IMPORTRANGE(""https://docs.google.com/spreadsheets/d/1xsp01RMmkav9iTy39Zaj_7tE9677EGlOJ14KU9TZn7I/"",""2004-2017!H1050"")"),3.5048655087)</f>
        <v>3.5048655087</v>
      </c>
      <c r="E305" s="76">
        <f ca="1">IFERROR(__xludf.DUMMYFUNCTION("$C299*IMPORTRANGE(""https://docs.google.com/spreadsheets/d/1xsp01RMmkav9iTy39Zaj_7tE9677EGlOJ14KU9TZn7I/"",""2004-2017!T1050"")"),2.4374703498)</f>
        <v>2.4374703497999999</v>
      </c>
      <c r="F305" s="76">
        <f ca="1">IFERROR(__xludf.DUMMYFUNCTION("$C299*IMPORTRANGE(""https://docs.google.com/spreadsheets/d/1xsp01RMmkav9iTy39Zaj_7tE9677EGlOJ14KU9TZn7I/"",""2004-2017!AC1050"")"),576.48599693487)</f>
        <v>576.48599693486995</v>
      </c>
      <c r="G305" s="73" t="s">
        <v>8</v>
      </c>
      <c r="K305" s="2"/>
      <c r="L305" s="3"/>
      <c r="M305" s="122"/>
      <c r="N305" s="122"/>
      <c r="O305" s="122"/>
      <c r="P305" s="122"/>
      <c r="Q305" s="2"/>
    </row>
    <row r="306" spans="1:17" ht="13.2" x14ac:dyDescent="0.25">
      <c r="A306" s="87" t="s">
        <v>302</v>
      </c>
      <c r="B306" s="90">
        <v>90</v>
      </c>
      <c r="C306" s="63">
        <f>7099/1000</f>
        <v>7.0990000000000002</v>
      </c>
      <c r="D306" s="72">
        <f ca="1">IFERROR(__xludf.DUMMYFUNCTION("$C300*IMPORTRANGE(""https://docs.google.com/spreadsheets/d/1xsp01RMmkav9iTy39Zaj_7tE9677EGlOJ14KU9TZn7I/"",""2004-2017!H1073"")"),4.83945929)</f>
        <v>4.8394592899999997</v>
      </c>
      <c r="E306" s="72">
        <f ca="1">IFERROR(__xludf.DUMMYFUNCTION("$C300*IMPORTRANGE(""https://docs.google.com/spreadsheets/d/1xsp01RMmkav9iTy39Zaj_7tE9677EGlOJ14KU9TZn7I/"",""2004-2017!T1073"")"),3.435916)</f>
        <v>3.4359160000000002</v>
      </c>
      <c r="F306" s="72">
        <f ca="1">IFERROR(__xludf.DUMMYFUNCTION("$C300*IMPORTRANGE(""https://docs.google.com/spreadsheets/d/1xsp01RMmkav9iTy39Zaj_7tE9677EGlOJ14KU9TZn7I/"",""2004-2017!AC1073"")"),785.575368396)</f>
        <v>785.57536839600004</v>
      </c>
      <c r="G306" s="61" t="s">
        <v>8</v>
      </c>
      <c r="K306" s="2"/>
      <c r="L306" s="3"/>
      <c r="M306" s="122"/>
      <c r="N306" s="122"/>
      <c r="O306" s="122"/>
      <c r="P306" s="122"/>
      <c r="Q306" s="2"/>
    </row>
    <row r="307" spans="1:17" ht="13.2" x14ac:dyDescent="0.25">
      <c r="A307" s="89" t="s">
        <v>303</v>
      </c>
      <c r="B307" s="92">
        <v>121</v>
      </c>
      <c r="C307" s="79">
        <f>5873.8/1000</f>
        <v>5.8738000000000001</v>
      </c>
      <c r="D307" s="80">
        <f ca="1">IFERROR(__xludf.DUMMYFUNCTION("$C301*IMPORTRANGE(""https://docs.google.com/spreadsheets/d/1xsp01RMmkav9iTy39Zaj_7tE9677EGlOJ14KU9TZn7I/"",""2004-2017!H1095"")"),4.021086004)</f>
        <v>4.0210860039999998</v>
      </c>
      <c r="E307" s="80">
        <f ca="1">IFERROR(__xludf.DUMMYFUNCTION("$C301*IMPORTRANGE(""https://docs.google.com/spreadsheets/d/1xsp01RMmkav9iTy39Zaj_7tE9677EGlOJ14KU9TZn7I/"",""2004-2017!T1095"")"),2.905827598)</f>
        <v>2.9058275980000001</v>
      </c>
      <c r="F307" s="80">
        <f ca="1">IFERROR(__xludf.DUMMYFUNCTION("$C301*IMPORTRANGE(""https://docs.google.com/spreadsheets/d/1xsp01RMmkav9iTy39Zaj_7tE9677EGlOJ14KU9TZn7I/"",""2004-2017!AC1095"")"),659.8626949369)</f>
        <v>659.86269493689997</v>
      </c>
      <c r="G307" s="77" t="s">
        <v>8</v>
      </c>
      <c r="K307" s="2"/>
      <c r="L307" s="3"/>
      <c r="M307" s="122"/>
      <c r="N307" s="122"/>
      <c r="O307" s="122"/>
      <c r="P307" s="122"/>
      <c r="Q307" s="2"/>
    </row>
    <row r="308" spans="1:17" ht="13.2" x14ac:dyDescent="0.25">
      <c r="A308" s="58">
        <v>2008</v>
      </c>
      <c r="B308" s="59"/>
      <c r="C308" s="93"/>
      <c r="D308" s="93"/>
      <c r="E308" s="93"/>
      <c r="F308" s="93"/>
      <c r="G308" s="58"/>
      <c r="K308" s="2"/>
      <c r="L308" s="3"/>
      <c r="M308" s="122"/>
      <c r="N308" s="122"/>
      <c r="O308" s="122"/>
      <c r="P308" s="122"/>
      <c r="Q308" s="2"/>
    </row>
    <row r="309" spans="1:17" ht="13.2" x14ac:dyDescent="0.25">
      <c r="A309" s="87" t="s">
        <v>304</v>
      </c>
      <c r="B309" s="90">
        <v>57</v>
      </c>
      <c r="C309" s="63">
        <f>3412.9/1000</f>
        <v>3.4129</v>
      </c>
      <c r="D309" s="72">
        <f ca="1">IFERROR(__xludf.DUMMYFUNCTION("$C303*IMPORTRANGE(""https://docs.google.com/spreadsheets/d/1xsp01RMmkav9iTy39Zaj_7tE9677EGlOJ14KU9TZn7I/"",""2004-2017!H1120"")"),2.31462878)</f>
        <v>2.3146287800000001</v>
      </c>
      <c r="E309" s="72">
        <f ca="1">IFERROR(__xludf.DUMMYFUNCTION("$C303*IMPORTRANGE(""https://docs.google.com/spreadsheets/d/1xsp01RMmkav9iTy39Zaj_7tE9677EGlOJ14KU9TZn7I/"",""2004-2017!T1120"")"),1.7298454295)</f>
        <v>1.7298454295000001</v>
      </c>
      <c r="F309" s="72">
        <f ca="1">IFERROR(__xludf.DUMMYFUNCTION("$C303*IMPORTRANGE(""https://docs.google.com/spreadsheets/d/1xsp01RMmkav9iTy39Zaj_7tE9677EGlOJ14KU9TZn7I/"",""2004-2017!AC1120"")"),365.6922418258)</f>
        <v>365.69224182580001</v>
      </c>
      <c r="G309" s="61" t="s">
        <v>8</v>
      </c>
      <c r="K309" s="2"/>
      <c r="L309" s="3"/>
      <c r="M309" s="122"/>
      <c r="N309" s="122"/>
      <c r="O309" s="122"/>
      <c r="P309" s="122"/>
      <c r="Q309" s="2"/>
    </row>
    <row r="310" spans="1:17" ht="13.2" x14ac:dyDescent="0.25">
      <c r="A310" s="88" t="s">
        <v>305</v>
      </c>
      <c r="B310" s="91">
        <v>65</v>
      </c>
      <c r="C310" s="75">
        <f>2489.6/1000</f>
        <v>2.4895999999999998</v>
      </c>
      <c r="D310" s="76">
        <f ca="1">IFERROR(__xludf.DUMMYFUNCTION("$C304*IMPORTRANGE(""https://docs.google.com/spreadsheets/d/1xsp01RMmkav9iTy39Zaj_7tE9677EGlOJ14KU9TZn7I/"",""2004-2017!H1142"")"),1.690164544)</f>
        <v>1.6901645439999999</v>
      </c>
      <c r="E310" s="76">
        <f ca="1">IFERROR(__xludf.DUMMYFUNCTION("$C304*IMPORTRANGE(""https://docs.google.com/spreadsheets/d/1xsp01RMmkav9iTy39Zaj_7tE9677EGlOJ14KU9TZn7I/"",""2004-2017!T1142"")"),1.267754112)</f>
        <v>1.267754112</v>
      </c>
      <c r="F310" s="76">
        <f ca="1">IFERROR(__xludf.DUMMYFUNCTION("$C304*IMPORTRANGE(""https://docs.google.com/spreadsheets/d/1xsp01RMmkav9iTy39Zaj_7tE9677EGlOJ14KU9TZn7I/"",""2004-2017!AC1142"")"),267.2336540416)</f>
        <v>267.2336540416</v>
      </c>
      <c r="G310" s="73" t="s">
        <v>8</v>
      </c>
      <c r="K310" s="2"/>
      <c r="L310" s="3"/>
      <c r="M310" s="122"/>
      <c r="N310" s="122"/>
      <c r="O310" s="122"/>
      <c r="P310" s="122"/>
      <c r="Q310" s="2"/>
    </row>
    <row r="311" spans="1:17" ht="13.2" x14ac:dyDescent="0.25">
      <c r="A311" s="87" t="s">
        <v>306</v>
      </c>
      <c r="B311" s="90">
        <v>75</v>
      </c>
      <c r="C311" s="63">
        <f>2298.2/1000</f>
        <v>2.2982</v>
      </c>
      <c r="D311" s="72">
        <f ca="1">IFERROR(__xludf.DUMMYFUNCTION("$C305*IMPORTRANGE(""https://docs.google.com/spreadsheets/d/1xsp01RMmkav9iTy39Zaj_7tE9677EGlOJ14KU9TZn7I/"",""2004-2017!H1164"")"),1.472066046)</f>
        <v>1.4720660459999999</v>
      </c>
      <c r="E311" s="72">
        <f ca="1">IFERROR(__xludf.DUMMYFUNCTION("$C305*IMPORTRANGE(""https://docs.google.com/spreadsheets/d/1xsp01RMmkav9iTy39Zaj_7tE9677EGlOJ14KU9TZn7I/"",""2004-2017!T1164"")"),1.14760617)</f>
        <v>1.14760617</v>
      </c>
      <c r="F311" s="72">
        <f ca="1">IFERROR(__xludf.DUMMYFUNCTION("$C305*IMPORTRANGE(""https://docs.google.com/spreadsheets/d/1xsp01RMmkav9iTy39Zaj_7tE9677EGlOJ14KU9TZn7I/"",""2004-2017!AC1164"")"),230.0038605964)</f>
        <v>230.00386059639999</v>
      </c>
      <c r="G311" s="61" t="s">
        <v>8</v>
      </c>
      <c r="K311" s="2"/>
      <c r="L311" s="3"/>
      <c r="M311" s="122"/>
      <c r="N311" s="122"/>
      <c r="O311" s="122"/>
      <c r="P311" s="122"/>
      <c r="Q311" s="2"/>
    </row>
    <row r="312" spans="1:17" ht="13.2" x14ac:dyDescent="0.25">
      <c r="A312" s="88" t="s">
        <v>307</v>
      </c>
      <c r="B312" s="91">
        <v>78</v>
      </c>
      <c r="C312" s="75">
        <f>1608.4/1000</f>
        <v>1.6084000000000001</v>
      </c>
      <c r="D312" s="76">
        <f ca="1">IFERROR(__xludf.DUMMYFUNCTION("$C306*IMPORTRANGE(""https://docs.google.com/spreadsheets/d/1xsp01RMmkav9iTy39Zaj_7tE9677EGlOJ14KU9TZn7I/"",""2004-2017!H1186"")"),1.02205778)</f>
        <v>1.0220577799999999</v>
      </c>
      <c r="E312" s="76">
        <f ca="1">IFERROR(__xludf.DUMMYFUNCTION("$C306*IMPORTRANGE(""https://docs.google.com/spreadsheets/d/1xsp01RMmkav9iTy39Zaj_7tE9677EGlOJ14KU9TZn7I/"",""2004-2017!T1186"")"),0.811373464)</f>
        <v>0.81137346399999999</v>
      </c>
      <c r="F312" s="76">
        <f ca="1">IFERROR(__xludf.DUMMYFUNCTION("$C306*IMPORTRANGE(""https://docs.google.com/spreadsheets/d/1xsp01RMmkav9iTy39Zaj_7tE9677EGlOJ14KU9TZn7I/"",""2004-2017!AC1186"")"),164.8288368252)</f>
        <v>164.8288368252</v>
      </c>
      <c r="G312" s="73" t="s">
        <v>8</v>
      </c>
      <c r="K312" s="2"/>
      <c r="L312" s="3"/>
      <c r="M312" s="122"/>
      <c r="N312" s="122"/>
      <c r="O312" s="122"/>
      <c r="P312" s="122"/>
      <c r="Q312" s="2"/>
    </row>
    <row r="313" spans="1:17" ht="13.2" x14ac:dyDescent="0.25">
      <c r="A313" s="87" t="s">
        <v>308</v>
      </c>
      <c r="B313" s="90">
        <v>73</v>
      </c>
      <c r="C313" s="63">
        <f>2544.9/1000</f>
        <v>2.5449000000000002</v>
      </c>
      <c r="D313" s="72">
        <f ca="1">IFERROR(__xludf.DUMMYFUNCTION("$C307*IMPORTRANGE(""https://docs.google.com/spreadsheets/d/1xsp01RMmkav9iTy39Zaj_7tE9677EGlOJ14KU9TZn7I/"",""2004-2017!H1208"")"),1.638075783)</f>
        <v>1.6380757829999999</v>
      </c>
      <c r="E313" s="72">
        <f ca="1">IFERROR(__xludf.DUMMYFUNCTION("$C307*IMPORTRANGE(""https://docs.google.com/spreadsheets/d/1xsp01RMmkav9iTy39Zaj_7tE9677EGlOJ14KU9TZn7I/"",""2004-2017!T1208"")"),1.290900525)</f>
        <v>1.2909005250000001</v>
      </c>
      <c r="F313" s="72">
        <f ca="1">IFERROR(__xludf.DUMMYFUNCTION("$C307*IMPORTRANGE(""https://docs.google.com/spreadsheets/d/1xsp01RMmkav9iTy39Zaj_7tE9677EGlOJ14KU9TZn7I/"",""2004-2017!AC1208"")"),266.2474456347)</f>
        <v>266.2474456347</v>
      </c>
      <c r="G313" s="61" t="s">
        <v>8</v>
      </c>
      <c r="K313" s="2"/>
      <c r="L313" s="3"/>
      <c r="M313" s="122"/>
      <c r="N313" s="122"/>
      <c r="O313" s="122"/>
      <c r="P313" s="122"/>
      <c r="Q313" s="2"/>
    </row>
    <row r="314" spans="1:17" ht="13.2" x14ac:dyDescent="0.25">
      <c r="A314" s="88" t="s">
        <v>309</v>
      </c>
      <c r="B314" s="91">
        <v>109</v>
      </c>
      <c r="C314" s="75">
        <f>14989.2/1000</f>
        <v>14.9892</v>
      </c>
      <c r="D314" s="76">
        <f ca="1">IFERROR(__xludf.DUMMYFUNCTION("$C308*IMPORTRANGE(""https://docs.google.com/spreadsheets/d/1xsp01RMmkav9iTy39Zaj_7tE9677EGlOJ14KU9TZn7I/"",""2004-2017!H1230"")"),9.6418029)</f>
        <v>9.6418029000000001</v>
      </c>
      <c r="E314" s="76">
        <f ca="1">IFERROR(__xludf.DUMMYFUNCTION("$C308*IMPORTRANGE(""https://docs.google.com/spreadsheets/d/1xsp01RMmkav9iTy39Zaj_7tE9677EGlOJ14KU9TZn7I/"",""2004-2017!T1230"")"),7.62650496)</f>
        <v>7.6265049600000001</v>
      </c>
      <c r="F314" s="76">
        <f ca="1">IFERROR(__xludf.DUMMYFUNCTION("$C308*IMPORTRANGE(""https://docs.google.com/spreadsheets/d/1xsp01RMmkav9iTy39Zaj_7tE9677EGlOJ14KU9TZn7I/"",""2004-2017!AC1230"")"),1608.4910220216)</f>
        <v>1608.4910220216</v>
      </c>
      <c r="G314" s="73" t="s">
        <v>8</v>
      </c>
      <c r="K314" s="2"/>
      <c r="L314" s="3"/>
      <c r="M314" s="122"/>
      <c r="N314" s="122"/>
      <c r="O314" s="122"/>
      <c r="P314" s="122"/>
      <c r="Q314" s="2"/>
    </row>
    <row r="315" spans="1:17" ht="13.2" x14ac:dyDescent="0.25">
      <c r="A315" s="87" t="s">
        <v>310</v>
      </c>
      <c r="B315" s="90">
        <v>93</v>
      </c>
      <c r="C315" s="63">
        <f>2299.2/1000</f>
        <v>2.2991999999999999</v>
      </c>
      <c r="D315" s="72">
        <f ca="1">IFERROR(__xludf.DUMMYFUNCTION("$C309*IMPORTRANGE(""https://docs.google.com/spreadsheets/d/1xsp01RMmkav9iTy39Zaj_7tE9677EGlOJ14KU9TZn7I/"",""2004-2017!H1253"")"),1.460865696)</f>
        <v>1.4608656959999999</v>
      </c>
      <c r="E315" s="72">
        <f ca="1">IFERROR(__xludf.DUMMYFUNCTION("$C309*IMPORTRANGE(""https://docs.google.com/spreadsheets/d/1xsp01RMmkav9iTy39Zaj_7tE9677EGlOJ14KU9TZn7I/"",""2004-2017!T1253"")"),1.155543432)</f>
        <v>1.155543432</v>
      </c>
      <c r="F315" s="72">
        <f ca="1">IFERROR(__xludf.DUMMYFUNCTION("$C309*IMPORTRANGE(""https://docs.google.com/spreadsheets/d/1xsp01RMmkav9iTy39Zaj_7tE9677EGlOJ14KU9TZn7I/"",""2004-2017!AC1253"")"),246.0327924504)</f>
        <v>246.0327924504</v>
      </c>
      <c r="G315" s="61" t="s">
        <v>8</v>
      </c>
      <c r="K315" s="2"/>
      <c r="L315" s="3"/>
      <c r="M315" s="122"/>
      <c r="N315" s="122"/>
      <c r="O315" s="122"/>
      <c r="P315" s="122"/>
      <c r="Q315" s="2"/>
    </row>
    <row r="316" spans="1:17" ht="13.2" x14ac:dyDescent="0.25">
      <c r="A316" s="88" t="s">
        <v>311</v>
      </c>
      <c r="B316" s="91">
        <v>71</v>
      </c>
      <c r="C316" s="75">
        <f>3347.6/1000</f>
        <v>3.3475999999999999</v>
      </c>
      <c r="D316" s="76">
        <f ca="1">IFERROR(__xludf.DUMMYFUNCTION("$C310*IMPORTRANGE(""https://docs.google.com/spreadsheets/d/1xsp01RMmkav9iTy39Zaj_7tE9677EGlOJ14KU9TZn7I/"",""2004-2017!H1275"")"),2.275095912)</f>
        <v>2.2750959119999998</v>
      </c>
      <c r="E316" s="76">
        <f ca="1">IFERROR(__xludf.DUMMYFUNCTION("$C310*IMPORTRANGE(""https://docs.google.com/spreadsheets/d/1xsp01RMmkav9iTy39Zaj_7tE9677EGlOJ14KU9TZn7I/"",""2004-2017!T1275"")"),1.793242368)</f>
        <v>1.793242368</v>
      </c>
      <c r="F316" s="76">
        <f ca="1">IFERROR(__xludf.DUMMYFUNCTION("$C310*IMPORTRANGE(""https://docs.google.com/spreadsheets/d/1xsp01RMmkav9iTy39Zaj_7tE9677EGlOJ14KU9TZn7I/"",""2004-2017!AC1275"")"),366.6961073476)</f>
        <v>366.69610734759999</v>
      </c>
      <c r="G316" s="73" t="s">
        <v>8</v>
      </c>
      <c r="K316" s="2"/>
      <c r="L316" s="3"/>
      <c r="M316" s="122"/>
      <c r="N316" s="122"/>
      <c r="O316" s="122"/>
      <c r="P316" s="122"/>
      <c r="Q316" s="2"/>
    </row>
    <row r="317" spans="1:17" ht="13.2" x14ac:dyDescent="0.25">
      <c r="A317" s="87" t="s">
        <v>312</v>
      </c>
      <c r="B317" s="90">
        <v>88</v>
      </c>
      <c r="C317" s="63">
        <f>2219.6/1000</f>
        <v>2.2195999999999998</v>
      </c>
      <c r="D317" s="72">
        <f ca="1">IFERROR(__xludf.DUMMYFUNCTION("$C311*IMPORTRANGE(""https://docs.google.com/spreadsheets/d/1xsp01RMmkav9iTy39Zaj_7tE9677EGlOJ14KU9TZn7I/"",""2004-2017!H1298"")"),1.54555187199999)</f>
        <v>1.5455518719999899</v>
      </c>
      <c r="E317" s="72">
        <f ca="1">IFERROR(__xludf.DUMMYFUNCTION("$C311*IMPORTRANGE(""https://docs.google.com/spreadsheets/d/1xsp01RMmkav9iTy39Zaj_7tE9677EGlOJ14KU9TZn7I/"",""2004-2017!T1298"")"),1.238747662)</f>
        <v>1.238747662</v>
      </c>
      <c r="F317" s="72">
        <f ca="1">IFERROR(__xludf.DUMMYFUNCTION("$C311*IMPORTRANGE(""https://docs.google.com/spreadsheets/d/1xsp01RMmkav9iTy39Zaj_7tE9677EGlOJ14KU9TZn7I/"",""2004-2017!AC1298"")"),236.4428933294)</f>
        <v>236.44289332939999</v>
      </c>
      <c r="G317" s="61" t="s">
        <v>8</v>
      </c>
      <c r="K317" s="2"/>
      <c r="L317" s="3"/>
      <c r="M317" s="122"/>
      <c r="N317" s="122"/>
      <c r="O317" s="122"/>
      <c r="P317" s="122"/>
      <c r="Q317" s="2"/>
    </row>
    <row r="318" spans="1:17" ht="13.2" x14ac:dyDescent="0.25">
      <c r="A318" s="88" t="s">
        <v>313</v>
      </c>
      <c r="B318" s="91">
        <v>82</v>
      </c>
      <c r="C318" s="75">
        <f>1982.2/1000</f>
        <v>1.9822</v>
      </c>
      <c r="D318" s="76">
        <f ca="1">IFERROR(__xludf.DUMMYFUNCTION("$C312*IMPORTRANGE(""https://docs.google.com/spreadsheets/d/1xsp01RMmkav9iTy39Zaj_7tE9677EGlOJ14KU9TZn7I/"",""2004-2017!H1322"")"),1.476719178)</f>
        <v>1.476719178</v>
      </c>
      <c r="E318" s="76">
        <f ca="1">IFERROR(__xludf.DUMMYFUNCTION("$C312*IMPORTRANGE(""https://docs.google.com/spreadsheets/d/1xsp01RMmkav9iTy39Zaj_7tE9677EGlOJ14KU9TZn7I/"",""2004-2017!T1322"")"),1.157089428)</f>
        <v>1.1570894279999999</v>
      </c>
      <c r="F318" s="76">
        <f ca="1">IFERROR(__xludf.DUMMYFUNCTION("$C312*IMPORTRANGE(""https://docs.google.com/spreadsheets/d/1xsp01RMmkav9iTy39Zaj_7tE9677EGlOJ14KU9TZn7I/"",""2004-2017!AC1322"")"),200.4004160356)</f>
        <v>200.40041603559999</v>
      </c>
      <c r="G318" s="73" t="s">
        <v>8</v>
      </c>
      <c r="K318" s="2"/>
      <c r="L318" s="3"/>
      <c r="M318" s="122"/>
      <c r="N318" s="122"/>
      <c r="O318" s="122"/>
      <c r="P318" s="122"/>
      <c r="Q318" s="2"/>
    </row>
    <row r="319" spans="1:17" ht="13.2" x14ac:dyDescent="0.25">
      <c r="A319" s="87" t="s">
        <v>314</v>
      </c>
      <c r="B319" s="90">
        <v>69</v>
      </c>
      <c r="C319" s="63">
        <f>3792.4/1000</f>
        <v>3.7924000000000002</v>
      </c>
      <c r="D319" s="72">
        <f ca="1">IFERROR(__xludf.DUMMYFUNCTION("$C313*IMPORTRANGE(""https://docs.google.com/spreadsheets/d/1xsp01RMmkav9iTy39Zaj_7tE9677EGlOJ14KU9TZn7I/"",""2004-2017!H1343"")"),2.986970088)</f>
        <v>2.9869700880000001</v>
      </c>
      <c r="E319" s="72">
        <f ca="1">IFERROR(__xludf.DUMMYFUNCTION("$C313*IMPORTRANGE(""https://docs.google.com/spreadsheets/d/1xsp01RMmkav9iTy39Zaj_7tE9677EGlOJ14KU9TZn7I/"",""2004-2017!T1343"")"),2.469212678)</f>
        <v>2.4692126779999999</v>
      </c>
      <c r="F319" s="72">
        <f ca="1">IFERROR(__xludf.DUMMYFUNCTION("$C313*IMPORTRANGE(""https://docs.google.com/spreadsheets/d/1xsp01RMmkav9iTy39Zaj_7tE9677EGlOJ14KU9TZn7I/"",""2004-2017!AC1343"")"),367.134668681)</f>
        <v>367.13466868099999</v>
      </c>
      <c r="G319" s="61" t="s">
        <v>8</v>
      </c>
      <c r="K319" s="2"/>
      <c r="L319" s="3"/>
      <c r="M319" s="122"/>
      <c r="N319" s="122"/>
      <c r="O319" s="122"/>
      <c r="P319" s="122"/>
      <c r="Q319" s="2"/>
    </row>
    <row r="320" spans="1:17" ht="13.2" x14ac:dyDescent="0.25">
      <c r="A320" s="89" t="s">
        <v>315</v>
      </c>
      <c r="B320" s="92">
        <v>90</v>
      </c>
      <c r="C320" s="79">
        <f>15881.3/1000</f>
        <v>15.8813</v>
      </c>
      <c r="D320" s="80">
        <f ca="1">IFERROR(__xludf.DUMMYFUNCTION("$C314*IMPORTRANGE(""https://docs.google.com/spreadsheets/d/1xsp01RMmkav9iTy39Zaj_7tE9677EGlOJ14KU9TZn7I/"",""2004-2017!H1367"")"),11.394356311)</f>
        <v>11.394356310999999</v>
      </c>
      <c r="E320" s="80">
        <f ca="1">IFERROR(__xludf.DUMMYFUNCTION("$C314*IMPORTRANGE(""https://docs.google.com/spreadsheets/d/1xsp01RMmkav9iTy39Zaj_7tE9677EGlOJ14KU9TZn7I/"",""2004-2017!T1367"")"),10.732106101)</f>
        <v>10.732106100999999</v>
      </c>
      <c r="F320" s="80">
        <f ca="1">IFERROR(__xludf.DUMMYFUNCTION("$C314*IMPORTRANGE(""https://docs.google.com/spreadsheets/d/1xsp01RMmkav9iTy39Zaj_7tE9677EGlOJ14KU9TZn7I/"",""2004-2017!AC1367"")"),1441.5455533561)</f>
        <v>1441.5455533561001</v>
      </c>
      <c r="G320" s="77" t="s">
        <v>8</v>
      </c>
      <c r="K320" s="2"/>
      <c r="L320" s="3"/>
      <c r="M320" s="122"/>
      <c r="N320" s="122"/>
      <c r="O320" s="122"/>
      <c r="P320" s="122"/>
      <c r="Q320" s="2"/>
    </row>
    <row r="321" spans="1:17" ht="13.2" x14ac:dyDescent="0.25">
      <c r="A321" s="58">
        <v>2009</v>
      </c>
      <c r="B321" s="59"/>
      <c r="C321" s="93"/>
      <c r="D321" s="93"/>
      <c r="E321" s="93"/>
      <c r="F321" s="93"/>
      <c r="G321" s="58"/>
      <c r="K321" s="2"/>
      <c r="L321" s="3"/>
      <c r="M321" s="122"/>
      <c r="N321" s="122"/>
      <c r="O321" s="122"/>
      <c r="P321" s="122"/>
      <c r="Q321" s="2"/>
    </row>
    <row r="322" spans="1:17" ht="13.2" x14ac:dyDescent="0.25">
      <c r="A322" s="87" t="s">
        <v>316</v>
      </c>
      <c r="B322" s="90">
        <v>51</v>
      </c>
      <c r="C322" s="63">
        <f>4196.2/1000</f>
        <v>4.1962000000000002</v>
      </c>
      <c r="D322" s="72">
        <f ca="1">IFERROR(__xludf.DUMMYFUNCTION("$C316*IMPORTRANGE(""https://docs.google.com/spreadsheets/d/1xsp01RMmkav9iTy39Zaj_7tE9677EGlOJ14KU9TZn7I/"",""2004-2017!H1391"")"),3.176775172)</f>
        <v>3.1767751720000001</v>
      </c>
      <c r="E322" s="72">
        <f ca="1">IFERROR(__xludf.DUMMYFUNCTION("$C316*IMPORTRANGE(""https://docs.google.com/spreadsheets/d/1xsp01RMmkav9iTy39Zaj_7tE9677EGlOJ14KU9TZn7I/"",""2004-2017!T1391"")"),2.88528613899999)</f>
        <v>2.88528613899999</v>
      </c>
      <c r="F322" s="72">
        <f ca="1">IFERROR(__xludf.DUMMYFUNCTION("$C316*IMPORTRANGE(""https://docs.google.com/spreadsheets/d/1xsp01RMmkav9iTy39Zaj_7tE9677EGlOJ14KU9TZn7I/"",""2004-2017!AC1391"")"),377.3432975886)</f>
        <v>377.34329758860002</v>
      </c>
      <c r="G322" s="61" t="s">
        <v>8</v>
      </c>
      <c r="K322" s="2"/>
      <c r="L322" s="3"/>
      <c r="M322" s="122"/>
      <c r="N322" s="122"/>
      <c r="O322" s="122"/>
      <c r="P322" s="122"/>
      <c r="Q322" s="2"/>
    </row>
    <row r="323" spans="1:17" ht="13.2" x14ac:dyDescent="0.25">
      <c r="A323" s="88" t="s">
        <v>317</v>
      </c>
      <c r="B323" s="91">
        <v>62</v>
      </c>
      <c r="C323" s="75">
        <f>3144.1/1000</f>
        <v>3.1440999999999999</v>
      </c>
      <c r="D323" s="76">
        <f ca="1">IFERROR(__xludf.DUMMYFUNCTION("$C317*IMPORTRANGE(""https://docs.google.com/spreadsheets/d/1xsp01RMmkav9iTy39Zaj_7tE9677EGlOJ14KU9TZn7I/"",""2004-2017!H1412"")"),2.44958403049999)</f>
        <v>2.4495840304999899</v>
      </c>
      <c r="E323" s="76">
        <f ca="1">IFERROR(__xludf.DUMMYFUNCTION("$C317*IMPORTRANGE(""https://docs.google.com/spreadsheets/d/1xsp01RMmkav9iTy39Zaj_7tE9677EGlOJ14KU9TZn7I/"",""2004-2017!T1412"")"),2.190242942)</f>
        <v>2.1902429419999998</v>
      </c>
      <c r="F323" s="76">
        <f ca="1">IFERROR(__xludf.DUMMYFUNCTION("$C317*IMPORTRANGE(""https://docs.google.com/spreadsheets/d/1xsp01RMmkav9iTy39Zaj_7tE9677EGlOJ14KU9TZn7I/"",""2004-2017!AC1412"")"),288.91134742795)</f>
        <v>288.91134742794998</v>
      </c>
      <c r="G323" s="73" t="s">
        <v>8</v>
      </c>
      <c r="K323" s="2"/>
      <c r="L323" s="3"/>
      <c r="M323" s="122"/>
      <c r="N323" s="122"/>
      <c r="O323" s="122"/>
      <c r="P323" s="122"/>
      <c r="Q323" s="2"/>
    </row>
    <row r="324" spans="1:17" ht="13.2" x14ac:dyDescent="0.25">
      <c r="A324" s="87" t="s">
        <v>318</v>
      </c>
      <c r="B324" s="90">
        <v>50</v>
      </c>
      <c r="C324" s="63">
        <f>3684.1/1000</f>
        <v>3.6840999999999999</v>
      </c>
      <c r="D324" s="72">
        <f ca="1">IFERROR(__xludf.DUMMYFUNCTION("$C318*IMPORTRANGE(""https://docs.google.com/spreadsheets/d/1xsp01RMmkav9iTy39Zaj_7tE9677EGlOJ14KU9TZn7I/"",""2004-2017!H1435"")"),2.832925536)</f>
        <v>2.8329255359999999</v>
      </c>
      <c r="E324" s="72">
        <f ca="1">IFERROR(__xludf.DUMMYFUNCTION("$C318*IMPORTRANGE(""https://docs.google.com/spreadsheets/d/1xsp01RMmkav9iTy39Zaj_7tE9677EGlOJ14KU9TZn7I/"",""2004-2017!T1435"")"),2.6027982295)</f>
        <v>2.6027982294999998</v>
      </c>
      <c r="F324" s="72">
        <f ca="1">IFERROR(__xludf.DUMMYFUNCTION("$C318*IMPORTRANGE(""https://docs.google.com/spreadsheets/d/1xsp01RMmkav9iTy39Zaj_7tE9677EGlOJ14KU9TZn7I/"",""2004-2017!AC1435"")"),361.17074165795)</f>
        <v>361.17074165794997</v>
      </c>
      <c r="G324" s="61" t="s">
        <v>8</v>
      </c>
      <c r="K324" s="2"/>
      <c r="L324" s="3"/>
      <c r="M324" s="122"/>
      <c r="N324" s="122"/>
      <c r="O324" s="122"/>
      <c r="P324" s="122"/>
      <c r="Q324" s="2"/>
    </row>
    <row r="325" spans="1:17" ht="13.2" x14ac:dyDescent="0.25">
      <c r="A325" s="88" t="s">
        <v>319</v>
      </c>
      <c r="B325" s="91">
        <v>60</v>
      </c>
      <c r="C325" s="75">
        <f>952.9/1000</f>
        <v>0.95289999999999997</v>
      </c>
      <c r="D325" s="76">
        <f ca="1">IFERROR(__xludf.DUMMYFUNCTION("$C319*IMPORTRANGE(""https://docs.google.com/spreadsheets/d/1xsp01RMmkav9iTy39Zaj_7tE9677EGlOJ14KU9TZn7I/"",""2004-2017!H1458"")"),0.7202256425)</f>
        <v>0.72022564249999999</v>
      </c>
      <c r="E325" s="76">
        <f ca="1">IFERROR(__xludf.DUMMYFUNCTION("$C319*IMPORTRANGE(""https://docs.google.com/spreadsheets/d/1xsp01RMmkav9iTy39Zaj_7tE9677EGlOJ14KU9TZn7I/"",""2004-2017!T1458"")"),0.6470905675)</f>
        <v>0.64709056750000005</v>
      </c>
      <c r="F325" s="76">
        <f ca="1">IFERROR(__xludf.DUMMYFUNCTION("$C319*IMPORTRANGE(""https://docs.google.com/spreadsheets/d/1xsp01RMmkav9iTy39Zaj_7tE9677EGlOJ14KU9TZn7I/"",""2004-2017!AC1458"")"),94.36092392935)</f>
        <v>94.360923929349994</v>
      </c>
      <c r="G325" s="73" t="s">
        <v>8</v>
      </c>
      <c r="K325" s="2"/>
      <c r="L325" s="3"/>
      <c r="M325" s="122"/>
      <c r="N325" s="122"/>
      <c r="O325" s="122"/>
      <c r="P325" s="122"/>
      <c r="Q325" s="2"/>
    </row>
    <row r="326" spans="1:17" ht="13.2" x14ac:dyDescent="0.25">
      <c r="A326" s="87" t="s">
        <v>320</v>
      </c>
      <c r="B326" s="90">
        <v>42</v>
      </c>
      <c r="C326" s="63">
        <f>1397.1/1000</f>
        <v>1.3971</v>
      </c>
      <c r="D326" s="72">
        <f ca="1">IFERROR(__xludf.DUMMYFUNCTION("$C320*IMPORTRANGE(""https://docs.google.com/spreadsheets/d/1xsp01RMmkav9iTy39Zaj_7tE9677EGlOJ14KU9TZn7I/"",""2004-2017!H1480"")"),1.024563285)</f>
        <v>1.0245632849999999</v>
      </c>
      <c r="E326" s="72">
        <f ca="1">IFERROR(__xludf.DUMMYFUNCTION("$C320*IMPORTRANGE(""https://docs.google.com/spreadsheets/d/1xsp01RMmkav9iTy39Zaj_7tE9677EGlOJ14KU9TZn7I/"",""2004-2017!T1480"")"),0.914904906)</f>
        <v>0.91490490599999996</v>
      </c>
      <c r="F326" s="72">
        <f ca="1">IFERROR(__xludf.DUMMYFUNCTION("$C320*IMPORTRANGE(""https://docs.google.com/spreadsheets/d/1xsp01RMmkav9iTy39Zaj_7tE9677EGlOJ14KU9TZn7I/"",""2004-2017!AC1480"")"),134.2850565087)</f>
        <v>134.28505650869999</v>
      </c>
      <c r="G326" s="61" t="s">
        <v>8</v>
      </c>
      <c r="K326" s="2"/>
      <c r="L326" s="3"/>
      <c r="M326" s="122"/>
      <c r="N326" s="122"/>
      <c r="O326" s="122"/>
      <c r="P326" s="122"/>
      <c r="Q326" s="2"/>
    </row>
    <row r="327" spans="1:17" ht="13.2" x14ac:dyDescent="0.25">
      <c r="A327" s="88" t="s">
        <v>321</v>
      </c>
      <c r="B327" s="91">
        <v>59</v>
      </c>
      <c r="C327" s="75">
        <f>3526.8/1000</f>
        <v>3.5268000000000002</v>
      </c>
      <c r="D327" s="76">
        <f ca="1">IFERROR(__xludf.DUMMYFUNCTION("$C321*IMPORTRANGE(""https://docs.google.com/spreadsheets/d/1xsp01RMmkav9iTy39Zaj_7tE9677EGlOJ14KU9TZn7I/"",""2004-2017!H1503"")"),2.52033945)</f>
        <v>2.5203394499999998</v>
      </c>
      <c r="E327" s="76">
        <f ca="1">IFERROR(__xludf.DUMMYFUNCTION("$C321*IMPORTRANGE(""https://docs.google.com/spreadsheets/d/1xsp01RMmkav9iTy39Zaj_7tE9677EGlOJ14KU9TZn7I/"",""2004-2017!T1503"")"),2.151471438)</f>
        <v>2.1514714380000002</v>
      </c>
      <c r="F327" s="76">
        <f ca="1">IFERROR(__xludf.DUMMYFUNCTION("$C321*IMPORTRANGE(""https://docs.google.com/spreadsheets/d/1xsp01RMmkav9iTy39Zaj_7tE9677EGlOJ14KU9TZn7I/"",""2004-2017!AC1503"")"),340.3750000902)</f>
        <v>340.37500009019999</v>
      </c>
      <c r="G327" s="73" t="s">
        <v>8</v>
      </c>
      <c r="K327" s="2"/>
      <c r="L327" s="3"/>
      <c r="M327" s="122"/>
      <c r="N327" s="122"/>
      <c r="O327" s="122"/>
      <c r="P327" s="122"/>
      <c r="Q327" s="2"/>
    </row>
    <row r="328" spans="1:17" ht="13.2" x14ac:dyDescent="0.25">
      <c r="A328" s="87" t="s">
        <v>322</v>
      </c>
      <c r="B328" s="90">
        <v>74</v>
      </c>
      <c r="C328" s="63">
        <f>3224.3/1000</f>
        <v>3.2243000000000004</v>
      </c>
      <c r="D328" s="72">
        <f ca="1">IFERROR(__xludf.DUMMYFUNCTION("$C322*IMPORTRANGE(""https://docs.google.com/spreadsheets/d/1xsp01RMmkav9iTy39Zaj_7tE9677EGlOJ14KU9TZn7I/"",""2004-2017!H1527"")"),2.286415616)</f>
        <v>2.2864156160000002</v>
      </c>
      <c r="E328" s="72">
        <f ca="1">IFERROR(__xludf.DUMMYFUNCTION("$C322*IMPORTRANGE(""https://docs.google.com/spreadsheets/d/1xsp01RMmkav9iTy39Zaj_7tE9677EGlOJ14KU9TZn7I/"",""2004-2017!T1527"")"),1.964727205)</f>
        <v>1.964727205</v>
      </c>
      <c r="F328" s="72">
        <f ca="1">IFERROR(__xludf.DUMMYFUNCTION("$C322*IMPORTRANGE(""https://docs.google.com/spreadsheets/d/1xsp01RMmkav9iTy39Zaj_7tE9677EGlOJ14KU9TZn7I/"",""2004-2017!AC1527"")"),304.3094243271)</f>
        <v>304.30942432709998</v>
      </c>
      <c r="G328" s="61" t="s">
        <v>8</v>
      </c>
      <c r="K328" s="2"/>
      <c r="L328" s="3"/>
      <c r="M328" s="122"/>
      <c r="N328" s="122"/>
      <c r="O328" s="122"/>
      <c r="P328" s="122"/>
      <c r="Q328" s="2"/>
    </row>
    <row r="329" spans="1:17" ht="13.2" x14ac:dyDescent="0.25">
      <c r="A329" s="88" t="s">
        <v>323</v>
      </c>
      <c r="B329" s="91">
        <v>51</v>
      </c>
      <c r="C329" s="75">
        <f>3324/1000</f>
        <v>3.3239999999999998</v>
      </c>
      <c r="D329" s="76">
        <f ca="1">IFERROR(__xludf.DUMMYFUNCTION("$C323*IMPORTRANGE(""https://docs.google.com/spreadsheets/d/1xsp01RMmkav9iTy39Zaj_7tE9677EGlOJ14KU9TZn7I/"",""2004-2017!H1549"")"),2.32839552)</f>
        <v>2.3283955199999999</v>
      </c>
      <c r="E329" s="76">
        <f ca="1">IFERROR(__xludf.DUMMYFUNCTION("$C323*IMPORTRANGE(""https://docs.google.com/spreadsheets/d/1xsp01RMmkav9iTy39Zaj_7tE9677EGlOJ14KU9TZn7I/"",""2004-2017!T1549"")"),2.01331356)</f>
        <v>2.0133135599999998</v>
      </c>
      <c r="F329" s="76">
        <f ca="1">IFERROR(__xludf.DUMMYFUNCTION("$C323*IMPORTRANGE(""https://docs.google.com/spreadsheets/d/1xsp01RMmkav9iTy39Zaj_7tE9677EGlOJ14KU9TZn7I/"",""2004-2017!AC1549"")"),315.101897352)</f>
        <v>315.10189735199998</v>
      </c>
      <c r="G329" s="73" t="s">
        <v>8</v>
      </c>
      <c r="K329" s="2"/>
      <c r="L329" s="3"/>
      <c r="M329" s="122"/>
      <c r="N329" s="122"/>
      <c r="O329" s="122"/>
      <c r="P329" s="122"/>
      <c r="Q329" s="2"/>
    </row>
    <row r="330" spans="1:17" ht="13.2" x14ac:dyDescent="0.25">
      <c r="A330" s="87" t="s">
        <v>324</v>
      </c>
      <c r="B330" s="90">
        <v>62</v>
      </c>
      <c r="C330" s="63">
        <f>12614/1000</f>
        <v>12.614000000000001</v>
      </c>
      <c r="D330" s="72">
        <f ca="1">IFERROR(__xludf.DUMMYFUNCTION("$C324*IMPORTRANGE(""https://docs.google.com/spreadsheets/d/1xsp01RMmkav9iTy39Zaj_7tE9677EGlOJ14KU9TZn7I/"",""2004-2017!H1572"")"),8.62059681)</f>
        <v>8.6205968100000003</v>
      </c>
      <c r="E330" s="72">
        <f ca="1">IFERROR(__xludf.DUMMYFUNCTION("$C324*IMPORTRANGE(""https://docs.google.com/spreadsheets/d/1xsp01RMmkav9iTy39Zaj_7tE9677EGlOJ14KU9TZn7I/"",""2004-2017!T1572"")"),7.71711906)</f>
        <v>7.7171190599999999</v>
      </c>
      <c r="F330" s="72">
        <f ca="1">IFERROR(__xludf.DUMMYFUNCTION("$C324*IMPORTRANGE(""https://docs.google.com/spreadsheets/d/1xsp01RMmkav9iTy39Zaj_7tE9677EGlOJ14KU9TZn7I/"",""2004-2017!AC1572"")"),1150.876119386)</f>
        <v>1150.876119386</v>
      </c>
      <c r="G330" s="61" t="s">
        <v>8</v>
      </c>
      <c r="K330" s="2"/>
      <c r="L330" s="3"/>
      <c r="M330" s="122"/>
      <c r="N330" s="122"/>
      <c r="O330" s="122"/>
      <c r="P330" s="122"/>
      <c r="Q330" s="2"/>
    </row>
    <row r="331" spans="1:17" ht="13.2" x14ac:dyDescent="0.25">
      <c r="A331" s="88" t="s">
        <v>325</v>
      </c>
      <c r="B331" s="91">
        <v>75</v>
      </c>
      <c r="C331" s="75">
        <f>15959/1000</f>
        <v>15.959</v>
      </c>
      <c r="D331" s="76">
        <f ca="1">IFERROR(__xludf.DUMMYFUNCTION("$C325*IMPORTRANGE(""https://docs.google.com/spreadsheets/d/1xsp01RMmkav9iTy39Zaj_7tE9677EGlOJ14KU9TZn7I/"",""2004-2017!H1595"")"),10.7623506249999)</f>
        <v>10.7623506249999</v>
      </c>
      <c r="E331" s="76">
        <f ca="1">IFERROR(__xludf.DUMMYFUNCTION("$C325*IMPORTRANGE(""https://docs.google.com/spreadsheets/d/1xsp01RMmkav9iTy39Zaj_7tE9677EGlOJ14KU9TZn7I/"",""2004-2017!T1595"")"),9.78749511)</f>
        <v>9.7874951100000001</v>
      </c>
      <c r="F331" s="76">
        <f ca="1">IFERROR(__xludf.DUMMYFUNCTION("$C325*IMPORTRANGE(""https://docs.google.com/spreadsheets/d/1xsp01RMmkav9iTy39Zaj_7tE9677EGlOJ14KU9TZn7I/"",""2004-2017!AC1595"")"),1441.57643808199)</f>
        <v>1441.5764380819901</v>
      </c>
      <c r="G331" s="73" t="s">
        <v>8</v>
      </c>
      <c r="K331" s="2"/>
      <c r="L331" s="3"/>
      <c r="M331" s="122"/>
      <c r="N331" s="122"/>
      <c r="O331" s="122"/>
      <c r="P331" s="122"/>
      <c r="Q331" s="2"/>
    </row>
    <row r="332" spans="1:17" ht="13.2" x14ac:dyDescent="0.25">
      <c r="A332" s="87" t="s">
        <v>326</v>
      </c>
      <c r="B332" s="90">
        <v>63</v>
      </c>
      <c r="C332" s="63">
        <f>3894.2/1000</f>
        <v>3.8941999999999997</v>
      </c>
      <c r="D332" s="72">
        <f ca="1">IFERROR(__xludf.DUMMYFUNCTION("$C326*IMPORTRANGE(""https://docs.google.com/spreadsheets/d/1xsp01RMmkav9iTy39Zaj_7tE9677EGlOJ14KU9TZn7I/"",""2004-2017!H1617"")"),2.604129424)</f>
        <v>2.6041294239999999</v>
      </c>
      <c r="E332" s="72">
        <f ca="1">IFERROR(__xludf.DUMMYFUNCTION("$C326*IMPORTRANGE(""https://docs.google.com/spreadsheets/d/1xsp01RMmkav9iTy39Zaj_7tE9677EGlOJ14KU9TZn7I/"",""2004-2017!T1617"")"),2.34773529599999)</f>
        <v>2.34773529599999</v>
      </c>
      <c r="F332" s="72">
        <f ca="1">IFERROR(__xludf.DUMMYFUNCTION("$C326*IMPORTRANGE(""https://docs.google.com/spreadsheets/d/1xsp01RMmkav9iTy39Zaj_7tE9677EGlOJ14KU9TZn7I/"",""2004-2017!AC1617"")"),348.1337032826)</f>
        <v>348.13370328259998</v>
      </c>
      <c r="G332" s="61" t="s">
        <v>8</v>
      </c>
      <c r="K332" s="2"/>
      <c r="L332" s="3"/>
      <c r="M332" s="122"/>
      <c r="N332" s="122"/>
      <c r="O332" s="122"/>
      <c r="P332" s="122"/>
      <c r="Q332" s="2"/>
    </row>
    <row r="333" spans="1:17" ht="13.2" x14ac:dyDescent="0.25">
      <c r="A333" s="89" t="s">
        <v>327</v>
      </c>
      <c r="B333" s="92">
        <v>119</v>
      </c>
      <c r="C333" s="79">
        <f>6150.1/1000</f>
        <v>6.1501000000000001</v>
      </c>
      <c r="D333" s="80">
        <f ca="1">IFERROR(__xludf.DUMMYFUNCTION("$C327*IMPORTRANGE(""https://docs.google.com/spreadsheets/d/1xsp01RMmkav9iTy39Zaj_7tE9677EGlOJ14KU9TZn7I/"",""2004-2017!H1641"")"),4.233851842)</f>
        <v>4.233851842</v>
      </c>
      <c r="E333" s="80">
        <f ca="1">IFERROR(__xludf.DUMMYFUNCTION("$C327*IMPORTRANGE(""https://docs.google.com/spreadsheets/d/1xsp01RMmkav9iTy39Zaj_7tE9677EGlOJ14KU9TZn7I/"",""2004-2017!T1641"")"),3.784894542)</f>
        <v>3.784894542</v>
      </c>
      <c r="F333" s="80">
        <f ca="1">IFERROR(__xludf.DUMMYFUNCTION("$C327*IMPORTRANGE(""https://docs.google.com/spreadsheets/d/1xsp01RMmkav9iTy39Zaj_7tE9677EGlOJ14KU9TZn7I/"",""2004-2017!AC1641"")"),552.5864726998)</f>
        <v>552.58647269979997</v>
      </c>
      <c r="G333" s="77" t="s">
        <v>8</v>
      </c>
      <c r="K333" s="2"/>
      <c r="L333" s="3"/>
      <c r="M333" s="122"/>
      <c r="N333" s="122"/>
      <c r="O333" s="122"/>
      <c r="P333" s="122"/>
      <c r="Q333" s="2"/>
    </row>
    <row r="334" spans="1:17" ht="13.2" x14ac:dyDescent="0.25">
      <c r="A334" s="58">
        <v>2010</v>
      </c>
      <c r="B334" s="59"/>
      <c r="C334" s="93"/>
      <c r="D334" s="93"/>
      <c r="E334" s="93"/>
      <c r="F334" s="93"/>
      <c r="G334" s="58"/>
      <c r="K334" s="2"/>
      <c r="L334" s="3"/>
      <c r="M334" s="122"/>
      <c r="N334" s="122"/>
      <c r="O334" s="122"/>
      <c r="P334" s="122"/>
      <c r="Q334" s="2"/>
    </row>
    <row r="335" spans="1:17" ht="13.2" x14ac:dyDescent="0.25">
      <c r="A335" s="87" t="s">
        <v>328</v>
      </c>
      <c r="B335" s="90">
        <v>55</v>
      </c>
      <c r="C335" s="63">
        <f>1026.9/1000</f>
        <v>1.0269000000000001</v>
      </c>
      <c r="D335" s="72">
        <f ca="1">IFERROR(__xludf.DUMMYFUNCTION("$C329*IMPORTRANGE(""https://docs.google.com/spreadsheets/d/1xsp01RMmkav9iTy39Zaj_7tE9677EGlOJ14KU9TZn7I/"",""2004-2017!H1664"")"),0.714814821)</f>
        <v>0.71481482100000004</v>
      </c>
      <c r="E335" s="72">
        <f ca="1">IFERROR(__xludf.DUMMYFUNCTION("$C329*IMPORTRANGE(""https://docs.google.com/spreadsheets/d/1xsp01RMmkav9iTy39Zaj_7tE9677EGlOJ14KU9TZn7I/"",""2004-2017!T1664"")"),0.635969439)</f>
        <v>0.63596943900000003</v>
      </c>
      <c r="F335" s="72">
        <f ca="1">IFERROR(__xludf.DUMMYFUNCTION("$C329*IMPORTRANGE(""https://docs.google.com/spreadsheets/d/1xsp01RMmkav9iTy39Zaj_7tE9677EGlOJ14KU9TZn7I/"",""2004-2017!AC1664"")"),93.6450658269)</f>
        <v>93.645065826899994</v>
      </c>
      <c r="G335" s="61" t="s">
        <v>8</v>
      </c>
      <c r="K335" s="2"/>
      <c r="L335" s="3"/>
      <c r="M335" s="122"/>
      <c r="N335" s="122"/>
      <c r="O335" s="122"/>
      <c r="P335" s="122"/>
      <c r="Q335" s="2"/>
    </row>
    <row r="336" spans="1:17" ht="13.2" x14ac:dyDescent="0.25">
      <c r="A336" s="88" t="s">
        <v>329</v>
      </c>
      <c r="B336" s="91">
        <v>85</v>
      </c>
      <c r="C336" s="75">
        <f>4360.5/1000</f>
        <v>4.3605</v>
      </c>
      <c r="D336" s="76">
        <f ca="1">IFERROR(__xludf.DUMMYFUNCTION("$C330*IMPORTRANGE(""https://docs.google.com/spreadsheets/d/1xsp01RMmkav9iTy39Zaj_7tE9677EGlOJ14KU9TZn7I/"",""2004-2017!H1685"")"),3.19572324)</f>
        <v>3.19572324</v>
      </c>
      <c r="E336" s="76">
        <f ca="1">IFERROR(__xludf.DUMMYFUNCTION("$C330*IMPORTRANGE(""https://docs.google.com/spreadsheets/d/1xsp01RMmkav9iTy39Zaj_7tE9677EGlOJ14KU9TZn7I/"",""2004-2017!T1685"")"),2.7840266325)</f>
        <v>2.7840266324999998</v>
      </c>
      <c r="F336" s="76">
        <f ca="1">IFERROR(__xludf.DUMMYFUNCTION("$C330*IMPORTRANGE(""https://docs.google.com/spreadsheets/d/1xsp01RMmkav9iTy39Zaj_7tE9677EGlOJ14KU9TZn7I/"",""2004-2017!AC1685"")"),392.90286776175)</f>
        <v>392.90286776174997</v>
      </c>
      <c r="G336" s="73" t="s">
        <v>8</v>
      </c>
      <c r="K336" s="2"/>
      <c r="L336" s="3"/>
      <c r="M336" s="122"/>
      <c r="N336" s="122"/>
      <c r="O336" s="122"/>
      <c r="P336" s="122"/>
      <c r="Q336" s="2"/>
    </row>
    <row r="337" spans="1:17" ht="13.2" x14ac:dyDescent="0.25">
      <c r="A337" s="87" t="s">
        <v>330</v>
      </c>
      <c r="B337" s="90">
        <v>67</v>
      </c>
      <c r="C337" s="63">
        <f>2028.2/1000</f>
        <v>2.0282</v>
      </c>
      <c r="D337" s="72">
        <f ca="1">IFERROR(__xludf.DUMMYFUNCTION("$C331*IMPORTRANGE(""https://docs.google.com/spreadsheets/d/1xsp01RMmkav9iTy39Zaj_7tE9677EGlOJ14KU9TZn7I/"",""2004-2017!H1709"")"),1.490564744)</f>
        <v>1.4905647440000001</v>
      </c>
      <c r="E337" s="72">
        <f ca="1">IFERROR(__xludf.DUMMYFUNCTION("$C331*IMPORTRANGE(""https://docs.google.com/spreadsheets/d/1xsp01RMmkav9iTy39Zaj_7tE9677EGlOJ14KU9TZn7I/"",""2004-2017!T1709"")"),1.348367642)</f>
        <v>1.3483676419999999</v>
      </c>
      <c r="F337" s="72">
        <f ca="1">IFERROR(__xludf.DUMMYFUNCTION("$C331*IMPORTRANGE(""https://docs.google.com/spreadsheets/d/1xsp01RMmkav9iTy39Zaj_7tE9677EGlOJ14KU9TZn7I/"",""2004-2017!AC1709"")"),183.3553646)</f>
        <v>183.3553646</v>
      </c>
      <c r="G337" s="61" t="s">
        <v>8</v>
      </c>
      <c r="K337" s="2"/>
      <c r="L337" s="3"/>
      <c r="M337" s="122"/>
      <c r="N337" s="122"/>
      <c r="O337" s="122"/>
      <c r="P337" s="122"/>
      <c r="Q337" s="2"/>
    </row>
    <row r="338" spans="1:17" ht="13.2" x14ac:dyDescent="0.25">
      <c r="A338" s="88" t="s">
        <v>331</v>
      </c>
      <c r="B338" s="91">
        <v>70</v>
      </c>
      <c r="C338" s="75">
        <f>7629.4/1000</f>
        <v>7.6293999999999995</v>
      </c>
      <c r="D338" s="76">
        <f ca="1">IFERROR(__xludf.DUMMYFUNCTION("$C332*IMPORTRANGE(""https://docs.google.com/spreadsheets/d/1xsp01RMmkav9iTy39Zaj_7tE9677EGlOJ14KU9TZn7I/"",""2004-2017!H1732"")"),5.68573405599999)</f>
        <v>5.6857340559999896</v>
      </c>
      <c r="E338" s="76">
        <f ca="1">IFERROR(__xludf.DUMMYFUNCTION("$C332*IMPORTRANGE(""https://docs.google.com/spreadsheets/d/1xsp01RMmkav9iTy39Zaj_7tE9677EGlOJ14KU9TZn7I/"",""2004-2017!T1732"")"),4.967082723)</f>
        <v>4.9670827229999999</v>
      </c>
      <c r="F338" s="76">
        <f ca="1">IFERROR(__xludf.DUMMYFUNCTION("$C332*IMPORTRANGE(""https://docs.google.com/spreadsheets/d/1xsp01RMmkav9iTy39Zaj_7tE9677EGlOJ14KU9TZn7I/"",""2004-2017!AC1732"")"),712.265540458799)</f>
        <v>712.26554045879902</v>
      </c>
      <c r="G338" s="73" t="s">
        <v>8</v>
      </c>
      <c r="K338" s="2"/>
      <c r="L338" s="3"/>
      <c r="M338" s="122"/>
      <c r="N338" s="122"/>
      <c r="O338" s="122"/>
      <c r="P338" s="122"/>
      <c r="Q338" s="2"/>
    </row>
    <row r="339" spans="1:17" ht="13.2" x14ac:dyDescent="0.25">
      <c r="A339" s="87" t="s">
        <v>332</v>
      </c>
      <c r="B339" s="90">
        <v>75</v>
      </c>
      <c r="C339" s="63">
        <f>12084.8/1000</f>
        <v>12.0848</v>
      </c>
      <c r="D339" s="72">
        <f ca="1">IFERROR(__xludf.DUMMYFUNCTION("$C333*IMPORTRANGE(""https://docs.google.com/spreadsheets/d/1xsp01RMmkav9iTy39Zaj_7tE9677EGlOJ14KU9TZn7I/"",""2004-2017!H1754"")"),9.68415448)</f>
        <v>9.6841544800000001</v>
      </c>
      <c r="E339" s="72">
        <f ca="1">IFERROR(__xludf.DUMMYFUNCTION("$C333*IMPORTRANGE(""https://docs.google.com/spreadsheets/d/1xsp01RMmkav9iTy39Zaj_7tE9677EGlOJ14KU9TZn7I/"",""2004-2017!T1754"")"),8.31252967999999)</f>
        <v>8.3125296799999902</v>
      </c>
      <c r="F339" s="72">
        <f ca="1">IFERROR(__xludf.DUMMYFUNCTION("$C333*IMPORTRANGE(""https://docs.google.com/spreadsheets/d/1xsp01RMmkav9iTy39Zaj_7tE9677EGlOJ14KU9TZn7I/"",""2004-2017!AC1754"")"),1106.7260081696)</f>
        <v>1106.7260081695999</v>
      </c>
      <c r="G339" s="61" t="s">
        <v>8</v>
      </c>
      <c r="K339" s="2"/>
      <c r="L339" s="3"/>
      <c r="M339" s="122"/>
      <c r="N339" s="122"/>
      <c r="O339" s="122"/>
      <c r="P339" s="122"/>
      <c r="Q339" s="2"/>
    </row>
    <row r="340" spans="1:17" ht="13.2" x14ac:dyDescent="0.25">
      <c r="A340" s="88" t="s">
        <v>333</v>
      </c>
      <c r="B340" s="91">
        <v>89</v>
      </c>
      <c r="C340" s="75">
        <f>3884.6/1000</f>
        <v>3.8845999999999998</v>
      </c>
      <c r="D340" s="76">
        <f ca="1">IFERROR(__xludf.DUMMYFUNCTION("$C334*IMPORTRANGE(""https://docs.google.com/spreadsheets/d/1xsp01RMmkav9iTy39Zaj_7tE9677EGlOJ14KU9TZn7I/"",""2004-2017!H1777"")"),3.174728196)</f>
        <v>3.1747281959999998</v>
      </c>
      <c r="E340" s="76">
        <f ca="1">IFERROR(__xludf.DUMMYFUNCTION("$C334*IMPORTRANGE(""https://docs.google.com/spreadsheets/d/1xsp01RMmkav9iTy39Zaj_7tE9677EGlOJ14KU9TZn7I/"",""2004-2017!T1777"")"),2.633991876)</f>
        <v>2.6339918760000001</v>
      </c>
      <c r="F340" s="76">
        <f ca="1">IFERROR(__xludf.DUMMYFUNCTION("$C334*IMPORTRANGE(""https://docs.google.com/spreadsheets/d/1xsp01RMmkav9iTy39Zaj_7tE9677EGlOJ14KU9TZn7I/"",""2004-2017!AC1777"")"),354.2929929308)</f>
        <v>354.29299293079998</v>
      </c>
      <c r="G340" s="73" t="s">
        <v>8</v>
      </c>
      <c r="K340" s="2"/>
      <c r="L340" s="3"/>
      <c r="M340" s="122"/>
      <c r="N340" s="122"/>
      <c r="O340" s="122"/>
      <c r="P340" s="122"/>
      <c r="Q340" s="2"/>
    </row>
    <row r="341" spans="1:17" ht="13.2" x14ac:dyDescent="0.25">
      <c r="A341" s="87" t="s">
        <v>334</v>
      </c>
      <c r="B341" s="90">
        <v>66</v>
      </c>
      <c r="C341" s="63">
        <f>6693.2/1000</f>
        <v>6.6932</v>
      </c>
      <c r="D341" s="72">
        <f ca="1">IFERROR(__xludf.DUMMYFUNCTION("$C335*IMPORTRANGE(""https://docs.google.com/spreadsheets/d/1xsp01RMmkav9iTy39Zaj_7tE9677EGlOJ14KU9TZn7I/"",""2004-2017!H1800"")"),5.216747012)</f>
        <v>5.2167470119999999</v>
      </c>
      <c r="E341" s="72">
        <f ca="1">IFERROR(__xludf.DUMMYFUNCTION("$C335*IMPORTRANGE(""https://docs.google.com/spreadsheets/d/1xsp01RMmkav9iTy39Zaj_7tE9677EGlOJ14KU9TZn7I/"",""2004-2017!T1800"")"),4.38990254999999)</f>
        <v>4.3899025499999897</v>
      </c>
      <c r="F341" s="72">
        <f ca="1">IFERROR(__xludf.DUMMYFUNCTION("$C335*IMPORTRANGE(""https://docs.google.com/spreadsheets/d/1xsp01RMmkav9iTy39Zaj_7tE9677EGlOJ14KU9TZn7I/"",""2004-2017!AC1800"")"),585.655)</f>
        <v>585.65499999999997</v>
      </c>
      <c r="G341" s="61" t="s">
        <v>8</v>
      </c>
      <c r="K341" s="2"/>
      <c r="L341" s="3"/>
      <c r="M341" s="122"/>
      <c r="N341" s="122"/>
      <c r="O341" s="122"/>
      <c r="P341" s="122"/>
      <c r="Q341" s="2"/>
    </row>
    <row r="342" spans="1:17" ht="13.2" x14ac:dyDescent="0.25">
      <c r="A342" s="88" t="s">
        <v>335</v>
      </c>
      <c r="B342" s="91">
        <v>67</v>
      </c>
      <c r="C342" s="75">
        <f>2461.7/1000</f>
        <v>2.4617</v>
      </c>
      <c r="D342" s="76">
        <f ca="1">IFERROR(__xludf.DUMMYFUNCTION("$C336*IMPORTRANGE(""https://docs.google.com/spreadsheets/d/1xsp01RMmkav9iTy39Zaj_7tE9677EGlOJ14KU9TZn7I/"",""2004-2017!H1823"")"),1.91766429999999)</f>
        <v>1.91766429999999</v>
      </c>
      <c r="E342" s="76">
        <f ca="1">IFERROR(__xludf.DUMMYFUNCTION("$C336*IMPORTRANGE(""https://docs.google.com/spreadsheets/d/1xsp01RMmkav9iTy39Zaj_7tE9677EGlOJ14KU9TZn7I/"",""2004-2017!T1823"")"),1.5779127745)</f>
        <v>1.5779127744999999</v>
      </c>
      <c r="F342" s="76">
        <f ca="1">IFERROR(__xludf.DUMMYFUNCTION("$C336*IMPORTRANGE(""https://docs.google.com/spreadsheets/d/1xsp01RMmkav9iTy39Zaj_7tE9677EGlOJ14KU9TZn7I/"",""2004-2017!AC1823"")"),210.40273108085)</f>
        <v>210.40273108085</v>
      </c>
      <c r="G342" s="73" t="s">
        <v>8</v>
      </c>
      <c r="K342" s="2"/>
      <c r="L342" s="3"/>
      <c r="M342" s="122"/>
      <c r="N342" s="122"/>
      <c r="O342" s="122"/>
      <c r="P342" s="122"/>
      <c r="Q342" s="2"/>
    </row>
    <row r="343" spans="1:17" ht="13.2" x14ac:dyDescent="0.25">
      <c r="A343" s="87" t="s">
        <v>336</v>
      </c>
      <c r="B343" s="90">
        <v>80</v>
      </c>
      <c r="C343" s="63">
        <f>2226.8/1000</f>
        <v>2.2268000000000003</v>
      </c>
      <c r="D343" s="72">
        <f ca="1">IFERROR(__xludf.DUMMYFUNCTION("$C337*IMPORTRANGE(""https://docs.google.com/spreadsheets/d/1xsp01RMmkav9iTy39Zaj_7tE9677EGlOJ14KU9TZn7I/"",""2004-2017!H1846"")"),1.712476004)</f>
        <v>1.712476004</v>
      </c>
      <c r="E343" s="72">
        <f ca="1">IFERROR(__xludf.DUMMYFUNCTION("$C337*IMPORTRANGE(""https://docs.google.com/spreadsheets/d/1xsp01RMmkav9iTy39Zaj_7tE9677EGlOJ14KU9TZn7I/"",""2004-2017!T1846"")"),1.432845594)</f>
        <v>1.432845594</v>
      </c>
      <c r="F343" s="72">
        <f ca="1">IFERROR(__xludf.DUMMYFUNCTION("$C337*IMPORTRANGE(""https://docs.google.com/spreadsheets/d/1xsp01RMmkav9iTy39Zaj_7tE9677EGlOJ14KU9TZn7I/"",""2004-2017!AC1846"")"),187.6991999134)</f>
        <v>187.69919991340001</v>
      </c>
      <c r="G343" s="61" t="s">
        <v>8</v>
      </c>
      <c r="K343" s="2"/>
      <c r="L343" s="3"/>
      <c r="M343" s="122"/>
      <c r="N343" s="122"/>
      <c r="O343" s="122"/>
      <c r="P343" s="122"/>
      <c r="Q343" s="2"/>
    </row>
    <row r="344" spans="1:17" ht="13.2" x14ac:dyDescent="0.25">
      <c r="A344" s="88" t="s">
        <v>337</v>
      </c>
      <c r="B344" s="91">
        <v>72</v>
      </c>
      <c r="C344" s="75">
        <f>6232.7/1000</f>
        <v>6.2326999999999995</v>
      </c>
      <c r="D344" s="76">
        <f ca="1">IFERROR(__xludf.DUMMYFUNCTION("$C338*IMPORTRANGE(""https://docs.google.com/spreadsheets/d/1xsp01RMmkav9iTy39Zaj_7tE9677EGlOJ14KU9TZn7I/"",""2004-2017!H1868"")"),4.478506585)</f>
        <v>4.4785065849999999</v>
      </c>
      <c r="E344" s="76">
        <f ca="1">IFERROR(__xludf.DUMMYFUNCTION("$C338*IMPORTRANGE(""https://docs.google.com/spreadsheets/d/1xsp01RMmkav9iTy39Zaj_7tE9677EGlOJ14KU9TZn7I/"",""2004-2017!T1868"")"),3.93351929699999)</f>
        <v>3.9335192969999899</v>
      </c>
      <c r="F344" s="76">
        <f ca="1">IFERROR(__xludf.DUMMYFUNCTION("$C338*IMPORTRANGE(""https://docs.google.com/spreadsheets/d/1xsp01RMmkav9iTy39Zaj_7tE9677EGlOJ14KU9TZn7I/"",""2004-2017!AC1868"")"),509.080709532699)</f>
        <v>509.08070953269902</v>
      </c>
      <c r="G344" s="73" t="s">
        <v>8</v>
      </c>
      <c r="K344" s="2"/>
      <c r="L344" s="3"/>
      <c r="M344" s="122"/>
      <c r="N344" s="122"/>
      <c r="O344" s="122"/>
      <c r="P344" s="122"/>
      <c r="Q344" s="2"/>
    </row>
    <row r="345" spans="1:17" ht="13.2" x14ac:dyDescent="0.25">
      <c r="A345" s="87" t="s">
        <v>338</v>
      </c>
      <c r="B345" s="90">
        <v>111</v>
      </c>
      <c r="C345" s="63">
        <f>6957.9/1000</f>
        <v>6.9578999999999995</v>
      </c>
      <c r="D345" s="72">
        <f ca="1">IFERROR(__xludf.DUMMYFUNCTION("$C339*IMPORTRANGE(""https://docs.google.com/spreadsheets/d/1xsp01RMmkav9iTy39Zaj_7tE9677EGlOJ14KU9TZn7I/"",""2004-2017!H1891"")"),5.08796437499999)</f>
        <v>5.0879643749999897</v>
      </c>
      <c r="E345" s="72">
        <f ca="1">IFERROR(__xludf.DUMMYFUNCTION("$C339*IMPORTRANGE(""https://docs.google.com/spreadsheets/d/1xsp01RMmkav9iTy39Zaj_7tE9677EGlOJ14KU9TZn7I/"",""2004-2017!T1891"")"),4.33845938699999)</f>
        <v>4.3384593869999897</v>
      </c>
      <c r="F345" s="72">
        <f ca="1">IFERROR(__xludf.DUMMYFUNCTION("$C339*IMPORTRANGE(""https://docs.google.com/spreadsheets/d/1xsp01RMmkav9iTy39Zaj_7tE9677EGlOJ14KU9TZn7I/"",""2004-2017!AC1891"")"),576.00974802105)</f>
        <v>576.00974802104997</v>
      </c>
      <c r="G345" s="61" t="s">
        <v>8</v>
      </c>
      <c r="K345" s="2"/>
      <c r="L345" s="3"/>
      <c r="M345" s="122"/>
      <c r="N345" s="122"/>
      <c r="O345" s="122"/>
      <c r="P345" s="122"/>
      <c r="Q345" s="2"/>
    </row>
    <row r="346" spans="1:17" ht="13.2" x14ac:dyDescent="0.25">
      <c r="A346" s="89" t="s">
        <v>339</v>
      </c>
      <c r="B346" s="92">
        <v>129</v>
      </c>
      <c r="C346" s="79">
        <f>18693.9/1000</f>
        <v>18.693900000000003</v>
      </c>
      <c r="D346" s="80">
        <f ca="1">IFERROR(__xludf.DUMMYFUNCTION("$C340*IMPORTRANGE(""https://docs.google.com/spreadsheets/d/1xsp01RMmkav9iTy39Zaj_7tE9677EGlOJ14KU9TZn7I/"",""2004-2017!H1915"")"),14.144926374)</f>
        <v>14.144926374000001</v>
      </c>
      <c r="E346" s="80">
        <f ca="1">IFERROR(__xludf.DUMMYFUNCTION("$C340*IMPORTRANGE(""https://docs.google.com/spreadsheets/d/1xsp01RMmkav9iTy39Zaj_7tE9677EGlOJ14KU9TZn7I/"",""2004-2017!T1915"")"),12.007839726)</f>
        <v>12.007839726</v>
      </c>
      <c r="F346" s="80">
        <f ca="1">IFERROR(__xludf.DUMMYFUNCTION("$C340*IMPORTRANGE(""https://docs.google.com/spreadsheets/d/1xsp01RMmkav9iTy39Zaj_7tE9677EGlOJ14KU9TZn7I/"",""2004-2017!AC1915"")"),1564.2681828939)</f>
        <v>1564.2681828939001</v>
      </c>
      <c r="G346" s="77" t="s">
        <v>8</v>
      </c>
      <c r="K346" s="2"/>
      <c r="L346" s="3"/>
      <c r="M346" s="122"/>
      <c r="N346" s="122"/>
      <c r="O346" s="122"/>
      <c r="P346" s="122"/>
      <c r="Q346" s="2"/>
    </row>
    <row r="347" spans="1:17" ht="13.2" x14ac:dyDescent="0.25">
      <c r="A347" s="58">
        <v>2011</v>
      </c>
      <c r="B347" s="59"/>
      <c r="C347" s="93"/>
      <c r="D347" s="93"/>
      <c r="E347" s="93"/>
      <c r="F347" s="93"/>
      <c r="G347" s="58"/>
      <c r="K347" s="2"/>
      <c r="L347" s="3"/>
      <c r="M347" s="122"/>
      <c r="N347" s="122"/>
      <c r="O347" s="122"/>
      <c r="P347" s="122"/>
      <c r="Q347" s="2"/>
    </row>
    <row r="348" spans="1:17" ht="13.2" x14ac:dyDescent="0.25">
      <c r="A348" s="87" t="s">
        <v>340</v>
      </c>
      <c r="B348" s="90">
        <v>81</v>
      </c>
      <c r="C348" s="63">
        <f>4190.1/1000</f>
        <v>4.1901000000000002</v>
      </c>
      <c r="D348" s="72">
        <f ca="1">IFERROR(__xludf.DUMMYFUNCTION("$C342*IMPORTRANGE(""https://docs.google.com/spreadsheets/d/1xsp01RMmkav9iTy39Zaj_7tE9677EGlOJ14KU9TZn7I/"",""2004-2017!H1938"")"),3.136792662)</f>
        <v>3.136792662</v>
      </c>
      <c r="E348" s="72">
        <f ca="1">IFERROR(__xludf.DUMMYFUNCTION("$C342*IMPORTRANGE(""https://docs.google.com/spreadsheets/d/1xsp01RMmkav9iTy39Zaj_7tE9677EGlOJ14KU9TZn7I/"",""2004-2017!T1938"")"),2.64705377399999)</f>
        <v>2.64705377399999</v>
      </c>
      <c r="F348" s="72">
        <f ca="1">IFERROR(__xludf.DUMMYFUNCTION("$C342*IMPORTRANGE(""https://docs.google.com/spreadsheets/d/1xsp01RMmkav9iTy39Zaj_7tE9677EGlOJ14KU9TZn7I/"",""2004-2017!AC1938"")"),346.3955586198)</f>
        <v>346.3955586198</v>
      </c>
      <c r="G348" s="61" t="s">
        <v>8</v>
      </c>
      <c r="K348" s="2"/>
      <c r="L348" s="3"/>
      <c r="M348" s="122"/>
      <c r="N348" s="122"/>
      <c r="O348" s="122"/>
      <c r="P348" s="122"/>
      <c r="Q348" s="2"/>
    </row>
    <row r="349" spans="1:17" ht="13.2" x14ac:dyDescent="0.25">
      <c r="A349" s="88" t="s">
        <v>341</v>
      </c>
      <c r="B349" s="91">
        <v>87</v>
      </c>
      <c r="C349" s="75">
        <f>25470.1/1000</f>
        <v>25.470099999999999</v>
      </c>
      <c r="D349" s="76">
        <f ca="1">IFERROR(__xludf.DUMMYFUNCTION("$C343*IMPORTRANGE(""https://docs.google.com/spreadsheets/d/1xsp01RMmkav9iTy39Zaj_7tE9677EGlOJ14KU9TZn7I/"",""2004-2017!H1959"")"),18.6590132085)</f>
        <v>18.659013208499999</v>
      </c>
      <c r="E349" s="76">
        <f ca="1">IFERROR(__xludf.DUMMYFUNCTION("$C343*IMPORTRANGE(""https://docs.google.com/spreadsheets/d/1xsp01RMmkav9iTy39Zaj_7tE9677EGlOJ14KU9TZn7I/"",""2004-2017!T1959"")"),15.7887876394999)</f>
        <v>15.788787639499899</v>
      </c>
      <c r="F349" s="76">
        <f ca="1">IFERROR(__xludf.DUMMYFUNCTION("$C343*IMPORTRANGE(""https://docs.google.com/spreadsheets/d/1xsp01RMmkav9iTy39Zaj_7tE9677EGlOJ14KU9TZn7I/"",""2004-2017!AC1959"")"),2099.46217605515)</f>
        <v>2099.4621760551499</v>
      </c>
      <c r="G349" s="73" t="s">
        <v>8</v>
      </c>
      <c r="K349" s="2"/>
      <c r="L349" s="3"/>
      <c r="M349" s="122"/>
      <c r="N349" s="122"/>
      <c r="O349" s="122"/>
      <c r="P349" s="122"/>
      <c r="Q349" s="2"/>
    </row>
    <row r="350" spans="1:17" ht="13.2" x14ac:dyDescent="0.25">
      <c r="A350" s="87" t="s">
        <v>342</v>
      </c>
      <c r="B350" s="90">
        <v>100</v>
      </c>
      <c r="C350" s="63">
        <f>10137.6/1000</f>
        <v>10.137600000000001</v>
      </c>
      <c r="D350" s="72">
        <f ca="1">IFERROR(__xludf.DUMMYFUNCTION("$C344*IMPORTRANGE(""https://docs.google.com/spreadsheets/d/1xsp01RMmkav9iTy39Zaj_7tE9677EGlOJ14KU9TZn7I/"",""2004-2017!H1983"")"),7.245950976)</f>
        <v>7.2459509759999996</v>
      </c>
      <c r="E350" s="72">
        <f ca="1">IFERROR(__xludf.DUMMYFUNCTION("$C344*IMPORTRANGE(""https://docs.google.com/spreadsheets/d/1xsp01RMmkav9iTy39Zaj_7tE9677EGlOJ14KU9TZn7I/"",""2004-2017!T1983"")"),6.26858496)</f>
        <v>6.2685849600000001</v>
      </c>
      <c r="F350" s="72">
        <f ca="1">IFERROR(__xludf.DUMMYFUNCTION("$C344*IMPORTRANGE(""https://docs.google.com/spreadsheets/d/1xsp01RMmkav9iTy39Zaj_7tE9677EGlOJ14KU9TZn7I/"",""2004-2017!AC1983"")"),829.458432)</f>
        <v>829.45843200000002</v>
      </c>
      <c r="G350" s="61" t="s">
        <v>8</v>
      </c>
      <c r="K350" s="2"/>
      <c r="L350" s="3"/>
      <c r="M350" s="122"/>
      <c r="N350" s="122"/>
      <c r="O350" s="122"/>
      <c r="P350" s="122"/>
      <c r="Q350" s="2"/>
    </row>
    <row r="351" spans="1:17" ht="13.2" x14ac:dyDescent="0.25">
      <c r="A351" s="88" t="s">
        <v>343</v>
      </c>
      <c r="B351" s="91">
        <v>75</v>
      </c>
      <c r="C351" s="75">
        <f>5105.6/1000</f>
        <v>5.1056000000000008</v>
      </c>
      <c r="D351" s="76">
        <f ca="1">IFERROR(__xludf.DUMMYFUNCTION("$C345*IMPORTRANGE(""https://docs.google.com/spreadsheets/d/1xsp01RMmkav9iTy39Zaj_7tE9677EGlOJ14KU9TZn7I/"",""2004-2017!H2005"")"),3.536240672)</f>
        <v>3.5362406719999999</v>
      </c>
      <c r="E351" s="76">
        <f ca="1">IFERROR(__xludf.DUMMYFUNCTION("$C345*IMPORTRANGE(""https://docs.google.com/spreadsheets/d/1xsp01RMmkav9iTy39Zaj_7tE9677EGlOJ14KU9TZn7I/"",""2004-2017!T2005"")"),3.127537392)</f>
        <v>3.1275373919999998</v>
      </c>
      <c r="F351" s="76">
        <f ca="1">IFERROR(__xludf.DUMMYFUNCTION("$C345*IMPORTRANGE(""https://docs.google.com/spreadsheets/d/1xsp01RMmkav9iTy39Zaj_7tE9677EGlOJ14KU9TZn7I/"",""2004-2017!AC2005"")"),425.0590798112)</f>
        <v>425.05907981119998</v>
      </c>
      <c r="G351" s="73" t="s">
        <v>8</v>
      </c>
      <c r="K351" s="2"/>
      <c r="L351" s="3"/>
      <c r="M351" s="122"/>
      <c r="N351" s="122"/>
      <c r="O351" s="122"/>
      <c r="P351" s="122"/>
      <c r="Q351" s="2"/>
    </row>
    <row r="352" spans="1:17" ht="13.2" x14ac:dyDescent="0.25">
      <c r="A352" s="87" t="s">
        <v>344</v>
      </c>
      <c r="B352" s="90">
        <v>86</v>
      </c>
      <c r="C352" s="63">
        <f>3653/1000</f>
        <v>3.653</v>
      </c>
      <c r="D352" s="72">
        <f ca="1">IFERROR(__xludf.DUMMYFUNCTION("$C346*IMPORTRANGE(""https://docs.google.com/spreadsheets/d/1xsp01RMmkav9iTy39Zaj_7tE9677EGlOJ14KU9TZn7I/"",""2004-2017!H2028"")"),2.557556625)</f>
        <v>2.5575566250000001</v>
      </c>
      <c r="E352" s="72">
        <f ca="1">IFERROR(__xludf.DUMMYFUNCTION("$C346*IMPORTRANGE(""https://docs.google.com/spreadsheets/d/1xsp01RMmkav9iTy39Zaj_7tE9677EGlOJ14KU9TZn7I/"",""2004-2017!T2028"")"),2.232512685)</f>
        <v>2.2325126850000001</v>
      </c>
      <c r="F352" s="72">
        <f ca="1">IFERROR(__xludf.DUMMYFUNCTION("$C346*IMPORTRANGE(""https://docs.google.com/spreadsheets/d/1xsp01RMmkav9iTy39Zaj_7tE9677EGlOJ14KU9TZn7I/"",""2004-2017!AC2028"")"),295.9861569795)</f>
        <v>295.98615697949998</v>
      </c>
      <c r="G352" s="61" t="s">
        <v>8</v>
      </c>
      <c r="K352" s="2"/>
      <c r="L352" s="3"/>
      <c r="M352" s="122"/>
      <c r="N352" s="122"/>
      <c r="O352" s="122"/>
      <c r="P352" s="122"/>
      <c r="Q352" s="2"/>
    </row>
    <row r="353" spans="1:17" ht="13.2" x14ac:dyDescent="0.25">
      <c r="A353" s="88" t="s">
        <v>345</v>
      </c>
      <c r="B353" s="91">
        <v>87</v>
      </c>
      <c r="C353" s="75">
        <f>4963.5/1000</f>
        <v>4.9634999999999998</v>
      </c>
      <c r="D353" s="76">
        <f ca="1">IFERROR(__xludf.DUMMYFUNCTION("$C347*IMPORTRANGE(""https://docs.google.com/spreadsheets/d/1xsp01RMmkav9iTy39Zaj_7tE9677EGlOJ14KU9TZn7I/"",""2004-2017!H2051"")"),3.4541244675)</f>
        <v>3.4541244674999998</v>
      </c>
      <c r="E353" s="76">
        <f ca="1">IFERROR(__xludf.DUMMYFUNCTION("$C347*IMPORTRANGE(""https://docs.google.com/spreadsheets/d/1xsp01RMmkav9iTy39Zaj_7tE9677EGlOJ14KU9TZn7I/"",""2004-2017!T2051"")"),3.0590298675)</f>
        <v>3.0590298675000001</v>
      </c>
      <c r="F353" s="76">
        <f ca="1">IFERROR(__xludf.DUMMYFUNCTION("$C347*IMPORTRANGE(""https://docs.google.com/spreadsheets/d/1xsp01RMmkav9iTy39Zaj_7tE9677EGlOJ14KU9TZn7I/"",""2004-2017!AC2051"")"),399.12249265875)</f>
        <v>399.12249265874999</v>
      </c>
      <c r="G353" s="73" t="s">
        <v>8</v>
      </c>
      <c r="K353" s="2"/>
      <c r="L353" s="3"/>
      <c r="M353" s="122"/>
      <c r="N353" s="122"/>
      <c r="O353" s="122"/>
      <c r="P353" s="122"/>
      <c r="Q353" s="2"/>
    </row>
    <row r="354" spans="1:17" ht="13.2" x14ac:dyDescent="0.25">
      <c r="A354" s="87" t="s">
        <v>346</v>
      </c>
      <c r="B354" s="90">
        <v>97</v>
      </c>
      <c r="C354" s="63">
        <f>13373.5/1000</f>
        <v>13.3735</v>
      </c>
      <c r="D354" s="72">
        <f ca="1">IFERROR(__xludf.DUMMYFUNCTION("$C348*IMPORTRANGE(""https://docs.google.com/spreadsheets/d/1xsp01RMmkav9iTy39Zaj_7tE9677EGlOJ14KU9TZn7I/"",""2004-2017!H2073"")"),9.33122589)</f>
        <v>9.3312258900000007</v>
      </c>
      <c r="E354" s="72">
        <f ca="1">IFERROR(__xludf.DUMMYFUNCTION("$C348*IMPORTRANGE(""https://docs.google.com/spreadsheets/d/1xsp01RMmkav9iTy39Zaj_7tE9677EGlOJ14KU9TZn7I/"",""2004-2017!T2073"")"),8.30039651)</f>
        <v>8.3003965100000006</v>
      </c>
      <c r="F354" s="72">
        <f ca="1">IFERROR(__xludf.DUMMYFUNCTION("$C348*IMPORTRANGE(""https://docs.google.com/spreadsheets/d/1xsp01RMmkav9iTy39Zaj_7tE9677EGlOJ14KU9TZn7I/"",""2004-2017!AC2073"")"),1058.19154762649)</f>
        <v>1058.1915476264901</v>
      </c>
      <c r="G354" s="61" t="s">
        <v>8</v>
      </c>
      <c r="K354" s="2"/>
      <c r="L354" s="3"/>
      <c r="M354" s="122"/>
      <c r="N354" s="122"/>
      <c r="O354" s="122"/>
      <c r="P354" s="122"/>
      <c r="Q354" s="2"/>
    </row>
    <row r="355" spans="1:17" ht="13.2" x14ac:dyDescent="0.25">
      <c r="A355" s="88" t="s">
        <v>347</v>
      </c>
      <c r="B355" s="91">
        <v>120</v>
      </c>
      <c r="C355" s="75">
        <f>7269.7/1000</f>
        <v>7.2696999999999994</v>
      </c>
      <c r="D355" s="76">
        <f ca="1">IFERROR(__xludf.DUMMYFUNCTION("$C349*IMPORTRANGE(""https://docs.google.com/spreadsheets/d/1xsp01RMmkav9iTy39Zaj_7tE9677EGlOJ14KU9TZn7I/"",""2004-2017!H2097"")"),5.06116514)</f>
        <v>5.06116514</v>
      </c>
      <c r="E355" s="76">
        <f ca="1">IFERROR(__xludf.DUMMYFUNCTION("$C349*IMPORTRANGE(""https://docs.google.com/spreadsheets/d/1xsp01RMmkav9iTy39Zaj_7tE9677EGlOJ14KU9TZn7I/"",""2004-2017!T2097"")"),4.44084163899999)</f>
        <v>4.4408416389999896</v>
      </c>
      <c r="F355" s="76">
        <f ca="1">IFERROR(__xludf.DUMMYFUNCTION("$C349*IMPORTRANGE(""https://docs.google.com/spreadsheets/d/1xsp01RMmkav9iTy39Zaj_7tE9677EGlOJ14KU9TZn7I/"",""2004-2017!AC2097"")"),558.7491492697)</f>
        <v>558.74914926969996</v>
      </c>
      <c r="G355" s="73" t="s">
        <v>8</v>
      </c>
      <c r="K355" s="2"/>
      <c r="L355" s="3"/>
      <c r="M355" s="122"/>
      <c r="N355" s="122"/>
      <c r="O355" s="122"/>
      <c r="P355" s="122"/>
      <c r="Q355" s="2"/>
    </row>
    <row r="356" spans="1:17" ht="13.2" x14ac:dyDescent="0.25">
      <c r="A356" s="87" t="s">
        <v>348</v>
      </c>
      <c r="B356" s="90">
        <v>68</v>
      </c>
      <c r="C356" s="63">
        <f>8855.1/1000</f>
        <v>8.8551000000000002</v>
      </c>
      <c r="D356" s="72">
        <f ca="1">IFERROR(__xludf.DUMMYFUNCTION("$C350*IMPORTRANGE(""https://docs.google.com/spreadsheets/d/1xsp01RMmkav9iTy39Zaj_7tE9677EGlOJ14KU9TZn7I/"",""2004-2017!H2120"")"),6.468296346)</f>
        <v>6.4682963459999998</v>
      </c>
      <c r="E356" s="72">
        <f ca="1">IFERROR(__xludf.DUMMYFUNCTION("$C350*IMPORTRANGE(""https://docs.google.com/spreadsheets/d/1xsp01RMmkav9iTy39Zaj_7tE9677EGlOJ14KU9TZn7I/"",""2004-2017!T2120"")"),5.6123181045)</f>
        <v>5.6123181044999999</v>
      </c>
      <c r="F356" s="72">
        <f ca="1">IFERROR(__xludf.DUMMYFUNCTION("$C350*IMPORTRANGE(""https://docs.google.com/spreadsheets/d/1xsp01RMmkav9iTy39Zaj_7tE9677EGlOJ14KU9TZn7I/"",""2004-2017!AC2120"")"),679.952127294899)</f>
        <v>679.95212729489901</v>
      </c>
      <c r="G356" s="61" t="s">
        <v>8</v>
      </c>
      <c r="K356" s="2"/>
      <c r="L356" s="3"/>
      <c r="M356" s="122"/>
      <c r="N356" s="122"/>
      <c r="O356" s="122"/>
      <c r="P356" s="122"/>
      <c r="Q356" s="2"/>
    </row>
    <row r="357" spans="1:17" ht="13.2" x14ac:dyDescent="0.25">
      <c r="A357" s="88" t="s">
        <v>349</v>
      </c>
      <c r="B357" s="91">
        <v>99</v>
      </c>
      <c r="C357" s="75">
        <f>4856.7/1000</f>
        <v>4.8567</v>
      </c>
      <c r="D357" s="76">
        <f ca="1">IFERROR(__xludf.DUMMYFUNCTION("$C351*IMPORTRANGE(""https://docs.google.com/spreadsheets/d/1xsp01RMmkav9iTy39Zaj_7tE9677EGlOJ14KU9TZn7I/"",""2004-2017!H2142"")"),3.533686353)</f>
        <v>3.5336863529999998</v>
      </c>
      <c r="E357" s="76">
        <f ca="1">IFERROR(__xludf.DUMMYFUNCTION("$C351*IMPORTRANGE(""https://docs.google.com/spreadsheets/d/1xsp01RMmkav9iTy39Zaj_7tE9677EGlOJ14KU9TZn7I/"",""2004-2017!T2142"")"),3.084587304)</f>
        <v>3.0845873039999998</v>
      </c>
      <c r="F357" s="76">
        <f ca="1">IFERROR(__xludf.DUMMYFUNCTION("$C351*IMPORTRANGE(""https://docs.google.com/spreadsheets/d/1xsp01RMmkav9iTy39Zaj_7tE9677EGlOJ14KU9TZn7I/"",""2004-2017!AC2142"")"),372.8003017134)</f>
        <v>372.80030171340002</v>
      </c>
      <c r="G357" s="73" t="s">
        <v>8</v>
      </c>
      <c r="K357" s="2"/>
      <c r="L357" s="3"/>
      <c r="M357" s="122"/>
      <c r="N357" s="122"/>
      <c r="O357" s="122"/>
      <c r="P357" s="122"/>
      <c r="Q357" s="2"/>
    </row>
    <row r="358" spans="1:17" ht="13.2" x14ac:dyDescent="0.25">
      <c r="A358" s="87" t="s">
        <v>350</v>
      </c>
      <c r="B358" s="90">
        <v>101</v>
      </c>
      <c r="C358" s="63">
        <f>5906.5/1000</f>
        <v>5.9065000000000003</v>
      </c>
      <c r="D358" s="72">
        <f ca="1">IFERROR(__xludf.DUMMYFUNCTION("$C352*IMPORTRANGE(""https://docs.google.com/spreadsheets/d/1xsp01RMmkav9iTy39Zaj_7tE9677EGlOJ14KU9TZn7I/"",""2004-2017!H2165"")"),4.366025735)</f>
        <v>4.366025735</v>
      </c>
      <c r="E358" s="72">
        <f ca="1">IFERROR(__xludf.DUMMYFUNCTION("$C352*IMPORTRANGE(""https://docs.google.com/spreadsheets/d/1xsp01RMmkav9iTy39Zaj_7tE9677EGlOJ14KU9TZn7I/"",""2004-2017!T2165"")"),3.7258497325)</f>
        <v>3.7258497325</v>
      </c>
      <c r="F358" s="72">
        <f ca="1">IFERROR(__xludf.DUMMYFUNCTION("$C352*IMPORTRANGE(""https://docs.google.com/spreadsheets/d/1xsp01RMmkav9iTy39Zaj_7tE9677EGlOJ14KU9TZn7I/"",""2004-2017!AC2165"")"),458.69583675)</f>
        <v>458.69583675000001</v>
      </c>
      <c r="G358" s="61" t="s">
        <v>8</v>
      </c>
      <c r="K358" s="2"/>
      <c r="L358" s="3"/>
      <c r="M358" s="122"/>
      <c r="N358" s="122"/>
      <c r="O358" s="122"/>
      <c r="P358" s="122"/>
      <c r="Q358" s="2"/>
    </row>
    <row r="359" spans="1:17" ht="13.2" x14ac:dyDescent="0.25">
      <c r="A359" s="89" t="s">
        <v>351</v>
      </c>
      <c r="B359" s="92">
        <v>102</v>
      </c>
      <c r="C359" s="79">
        <f>3808.2/1000</f>
        <v>3.8081999999999998</v>
      </c>
      <c r="D359" s="80">
        <f ca="1">IFERROR(__xludf.DUMMYFUNCTION("$C353*IMPORTRANGE(""https://docs.google.com/spreadsheets/d/1xsp01RMmkav9iTy39Zaj_7tE9677EGlOJ14KU9TZn7I/"",""2004-2017!H2188"")"),2.91502477199999)</f>
        <v>2.91502477199999</v>
      </c>
      <c r="E359" s="80">
        <f ca="1">IFERROR(__xludf.DUMMYFUNCTION("$C353*IMPORTRANGE(""https://docs.google.com/spreadsheets/d/1xsp01RMmkav9iTy39Zaj_7tE9677EGlOJ14KU9TZn7I/"",""2004-2017!T2188"")"),2.438904567)</f>
        <v>2.4389045669999998</v>
      </c>
      <c r="F359" s="80">
        <f ca="1">IFERROR(__xludf.DUMMYFUNCTION("$C353*IMPORTRANGE(""https://docs.google.com/spreadsheets/d/1xsp01RMmkav9iTy39Zaj_7tE9677EGlOJ14KU9TZn7I/"",""2004-2017!AC2188"")"),296.4874090959)</f>
        <v>296.48740909589998</v>
      </c>
      <c r="G359" s="77" t="s">
        <v>8</v>
      </c>
      <c r="K359" s="2"/>
      <c r="L359" s="3"/>
      <c r="M359" s="122"/>
      <c r="N359" s="122"/>
      <c r="O359" s="122"/>
      <c r="P359" s="122"/>
      <c r="Q359" s="2"/>
    </row>
    <row r="360" spans="1:17" ht="13.2" x14ac:dyDescent="0.25">
      <c r="A360" s="58">
        <v>2012</v>
      </c>
      <c r="B360" s="59"/>
      <c r="C360" s="93"/>
      <c r="D360" s="93"/>
      <c r="E360" s="93"/>
      <c r="F360" s="93"/>
      <c r="G360" s="58"/>
      <c r="K360" s="2"/>
      <c r="L360" s="3"/>
      <c r="M360" s="122"/>
      <c r="N360" s="122"/>
      <c r="O360" s="122"/>
      <c r="P360" s="122"/>
      <c r="Q360" s="2"/>
    </row>
    <row r="361" spans="1:17" ht="13.2" x14ac:dyDescent="0.25">
      <c r="A361" s="87" t="s">
        <v>352</v>
      </c>
      <c r="B361" s="90">
        <v>80</v>
      </c>
      <c r="C361" s="63">
        <f>10494.8/1000</f>
        <v>10.4948</v>
      </c>
      <c r="D361" s="72">
        <f ca="1">IFERROR(__xludf.DUMMYFUNCTION("$C355*IMPORTRANGE(""https://docs.google.com/spreadsheets/d/1xsp01RMmkav9iTy39Zaj_7tE9677EGlOJ14KU9TZn7I/"",""2004-2017!H2212"")"),8.130426508)</f>
        <v>8.1304265079999993</v>
      </c>
      <c r="E361" s="72">
        <f ca="1">IFERROR(__xludf.DUMMYFUNCTION("$C355*IMPORTRANGE(""https://docs.google.com/spreadsheets/d/1xsp01RMmkav9iTy39Zaj_7tE9677EGlOJ14KU9TZn7I/"",""2004-2017!T2212"")"),6.76783415)</f>
        <v>6.7678341499999997</v>
      </c>
      <c r="F361" s="72">
        <f ca="1">IFERROR(__xludf.DUMMYFUNCTION("$C355*IMPORTRANGE(""https://docs.google.com/spreadsheets/d/1xsp01RMmkav9iTy39Zaj_7tE9677EGlOJ14KU9TZn7I/"",""2004-2017!AC2212"")"),806.892724236999)</f>
        <v>806.89272423699902</v>
      </c>
      <c r="G361" s="61" t="s">
        <v>8</v>
      </c>
      <c r="K361" s="2"/>
      <c r="L361" s="3"/>
      <c r="M361" s="122"/>
      <c r="N361" s="122"/>
      <c r="O361" s="122"/>
      <c r="P361" s="122"/>
      <c r="Q361" s="2"/>
    </row>
    <row r="362" spans="1:17" ht="13.2" x14ac:dyDescent="0.25">
      <c r="A362" s="88" t="s">
        <v>353</v>
      </c>
      <c r="B362" s="91">
        <v>90</v>
      </c>
      <c r="C362" s="75">
        <f>2799.8/1000</f>
        <v>2.7998000000000003</v>
      </c>
      <c r="D362" s="76">
        <f ca="1">IFERROR(__xludf.DUMMYFUNCTION("$C356*IMPORTRANGE(""https://docs.google.com/spreadsheets/d/1xsp01RMmkav9iTy39Zaj_7tE9677EGlOJ14KU9TZn7I/"",""2004-2017!H2234"")"),2.116704796)</f>
        <v>2.1167047960000001</v>
      </c>
      <c r="E362" s="76">
        <f ca="1">IFERROR(__xludf.DUMMYFUNCTION("$C356*IMPORTRANGE(""https://docs.google.com/spreadsheets/d/1xsp01RMmkav9iTy39Zaj_7tE9677EGlOJ14KU9TZn7I/"",""2004-2017!T2234"")"),1.77115348)</f>
        <v>1.7711534799999999</v>
      </c>
      <c r="F362" s="76">
        <f ca="1">IFERROR(__xludf.DUMMYFUNCTION("$C356*IMPORTRANGE(""https://docs.google.com/spreadsheets/d/1xsp01RMmkav9iTy39Zaj_7tE9677EGlOJ14KU9TZn7I/"",""2004-2017!AC2234"")"),219.3923307998)</f>
        <v>219.39233079979999</v>
      </c>
      <c r="G362" s="73" t="s">
        <v>8</v>
      </c>
      <c r="K362" s="2"/>
      <c r="L362" s="3"/>
      <c r="M362" s="122"/>
      <c r="N362" s="122"/>
      <c r="O362" s="122"/>
      <c r="P362" s="122"/>
      <c r="Q362" s="2"/>
    </row>
    <row r="363" spans="1:17" ht="13.2" x14ac:dyDescent="0.25">
      <c r="A363" s="87" t="s">
        <v>354</v>
      </c>
      <c r="B363" s="90">
        <v>81</v>
      </c>
      <c r="C363" s="63">
        <f>3456.9/1000</f>
        <v>3.4569000000000001</v>
      </c>
      <c r="D363" s="72">
        <f ca="1">IFERROR(__xludf.DUMMYFUNCTION("$C357*IMPORTRANGE(""https://docs.google.com/spreadsheets/d/1xsp01RMmkav9iTy39Zaj_7tE9677EGlOJ14KU9TZn7I/"",""2004-2017!H2257"")"),2.61445347)</f>
        <v>2.6144534699999999</v>
      </c>
      <c r="E363" s="72">
        <f ca="1">IFERROR(__xludf.DUMMYFUNCTION("$C357*IMPORTRANGE(""https://docs.google.com/spreadsheets/d/1xsp01RMmkav9iTy39Zaj_7tE9677EGlOJ14KU9TZn7I/"",""2004-2017!T2257"")"),2.1810100635)</f>
        <v>2.1810100635</v>
      </c>
      <c r="F363" s="72">
        <f ca="1">IFERROR(__xludf.DUMMYFUNCTION("$C357*IMPORTRANGE(""https://docs.google.com/spreadsheets/d/1xsp01RMmkav9iTy39Zaj_7tE9677EGlOJ14KU9TZn7I/"",""2004-2017!AC2257"")"),285.36536482155)</f>
        <v>285.36536482154997</v>
      </c>
      <c r="G363" s="61" t="s">
        <v>8</v>
      </c>
      <c r="K363" s="2"/>
      <c r="L363" s="3"/>
      <c r="M363" s="122"/>
      <c r="N363" s="122"/>
      <c r="O363" s="122"/>
      <c r="P363" s="122"/>
      <c r="Q363" s="2"/>
    </row>
    <row r="364" spans="1:17" ht="13.2" x14ac:dyDescent="0.25">
      <c r="A364" s="88" t="s">
        <v>355</v>
      </c>
      <c r="B364" s="91">
        <v>78</v>
      </c>
      <c r="C364" s="75">
        <f>1966.6/1000</f>
        <v>1.9665999999999999</v>
      </c>
      <c r="D364" s="76">
        <f ca="1">IFERROR(__xludf.DUMMYFUNCTION("$C358*IMPORTRANGE(""https://docs.google.com/spreadsheets/d/1xsp01RMmkav9iTy39Zaj_7tE9677EGlOJ14KU9TZn7I/"",""2004-2017!H2279"")"),1.49599262)</f>
        <v>1.49599262</v>
      </c>
      <c r="E364" s="76">
        <f ca="1">IFERROR(__xludf.DUMMYFUNCTION("$C358*IMPORTRANGE(""https://docs.google.com/spreadsheets/d/1xsp01RMmkav9iTy39Zaj_7tE9677EGlOJ14KU9TZn7I/"",""2004-2017!T2279"")"),1.23227156)</f>
        <v>1.23227156</v>
      </c>
      <c r="F364" s="76">
        <f ca="1">IFERROR(__xludf.DUMMYFUNCTION("$C358*IMPORTRANGE(""https://docs.google.com/spreadsheets/d/1xsp01RMmkav9iTy39Zaj_7tE9677EGlOJ14KU9TZn7I/"",""2004-2017!AC2279"")"),159.8845858998)</f>
        <v>159.88458589979999</v>
      </c>
      <c r="G364" s="73" t="s">
        <v>8</v>
      </c>
      <c r="K364" s="2"/>
      <c r="L364" s="3"/>
      <c r="M364" s="122"/>
      <c r="N364" s="122"/>
      <c r="O364" s="122"/>
      <c r="P364" s="122"/>
      <c r="Q364" s="2"/>
    </row>
    <row r="365" spans="1:17" ht="13.2" x14ac:dyDescent="0.25">
      <c r="A365" s="87" t="s">
        <v>356</v>
      </c>
      <c r="B365" s="90">
        <v>103</v>
      </c>
      <c r="C365" s="63">
        <f>3805.3/1000</f>
        <v>3.8053000000000003</v>
      </c>
      <c r="D365" s="72">
        <f ca="1">IFERROR(__xludf.DUMMYFUNCTION("$C359*IMPORTRANGE(""https://docs.google.com/spreadsheets/d/1xsp01RMmkav9iTy39Zaj_7tE9677EGlOJ14KU9TZn7I/"",""2004-2017!H2303"")"),2.97041718)</f>
        <v>2.9704171800000001</v>
      </c>
      <c r="E365" s="72">
        <f ca="1">IFERROR(__xludf.DUMMYFUNCTION("$C359*IMPORTRANGE(""https://docs.google.com/spreadsheets/d/1xsp01RMmkav9iTy39Zaj_7tE9677EGlOJ14KU9TZn7I/"",""2004-2017!T2303"")"),2.38021515)</f>
        <v>2.3802151500000002</v>
      </c>
      <c r="F365" s="72">
        <f ca="1">IFERROR(__xludf.DUMMYFUNCTION("$C359*IMPORTRANGE(""https://docs.google.com/spreadsheets/d/1xsp01RMmkav9iTy39Zaj_7tE9677EGlOJ14KU9TZn7I/"",""2004-2017!AC2303"")"),303.8531973894)</f>
        <v>303.85319738940001</v>
      </c>
      <c r="G365" s="61" t="s">
        <v>8</v>
      </c>
      <c r="K365" s="2"/>
      <c r="L365" s="3"/>
      <c r="M365" s="122"/>
      <c r="N365" s="122"/>
      <c r="O365" s="122"/>
      <c r="P365" s="122"/>
      <c r="Q365" s="2"/>
    </row>
    <row r="366" spans="1:17" ht="13.2" x14ac:dyDescent="0.25">
      <c r="A366" s="88" t="s">
        <v>357</v>
      </c>
      <c r="B366" s="91">
        <v>79</v>
      </c>
      <c r="C366" s="75">
        <f>2925.3/1000</f>
        <v>2.9253</v>
      </c>
      <c r="D366" s="76">
        <f ca="1">IFERROR(__xludf.DUMMYFUNCTION("$C360*IMPORTRANGE(""https://docs.google.com/spreadsheets/d/1xsp01RMmkav9iTy39Zaj_7tE9677EGlOJ14KU9TZn7I/"",""2004-2017!H2325"")"),2.33321928)</f>
        <v>2.3332192799999998</v>
      </c>
      <c r="E366" s="76">
        <f ca="1">IFERROR(__xludf.DUMMYFUNCTION("$C360*IMPORTRANGE(""https://docs.google.com/spreadsheets/d/1xsp01RMmkav9iTy39Zaj_7tE9677EGlOJ14KU9TZn7I/"",""2004-2017!T2325"")"),1.88067537)</f>
        <v>1.8806753700000001</v>
      </c>
      <c r="F366" s="76">
        <f ca="1">IFERROR(__xludf.DUMMYFUNCTION("$C360*IMPORTRANGE(""https://docs.google.com/spreadsheets/d/1xsp01RMmkav9iTy39Zaj_7tE9677EGlOJ14KU9TZn7I/"",""2004-2017!AC2325"")"),232.1869174506)</f>
        <v>232.18691745059999</v>
      </c>
      <c r="G366" s="73" t="s">
        <v>8</v>
      </c>
      <c r="K366" s="2"/>
      <c r="L366" s="3"/>
      <c r="M366" s="122"/>
      <c r="N366" s="122"/>
      <c r="O366" s="122"/>
      <c r="P366" s="122"/>
      <c r="Q366" s="2"/>
    </row>
    <row r="367" spans="1:17" ht="13.2" x14ac:dyDescent="0.25">
      <c r="A367" s="87" t="s">
        <v>358</v>
      </c>
      <c r="B367" s="90">
        <v>92</v>
      </c>
      <c r="C367" s="63">
        <f>7770.6/1000</f>
        <v>7.7706</v>
      </c>
      <c r="D367" s="72">
        <f ca="1">IFERROR(__xludf.DUMMYFUNCTION("$C361*IMPORTRANGE(""https://docs.google.com/spreadsheets/d/1xsp01RMmkav9iTy39Zaj_7tE9677EGlOJ14KU9TZn7I/"",""2004-2017!H2348"")"),6.330863232)</f>
        <v>6.3308632319999996</v>
      </c>
      <c r="E367" s="72">
        <f ca="1">IFERROR(__xludf.DUMMYFUNCTION("$C361*IMPORTRANGE(""https://docs.google.com/spreadsheets/d/1xsp01RMmkav9iTy39Zaj_7tE9677EGlOJ14KU9TZn7I/"",""2004-2017!T2348"")"),4.982431014)</f>
        <v>4.9824310140000003</v>
      </c>
      <c r="F367" s="72">
        <f ca="1">IFERROR(__xludf.DUMMYFUNCTION("$C361*IMPORTRANGE(""https://docs.google.com/spreadsheets/d/1xsp01RMmkav9iTy39Zaj_7tE9677EGlOJ14KU9TZn7I/"",""2004-2017!AC2348"")"),614.9108859147)</f>
        <v>614.91088591469997</v>
      </c>
      <c r="G367" s="61" t="s">
        <v>8</v>
      </c>
      <c r="K367" s="2"/>
      <c r="L367" s="3"/>
      <c r="M367" s="122"/>
      <c r="N367" s="122"/>
      <c r="O367" s="122"/>
      <c r="P367" s="122"/>
      <c r="Q367" s="2"/>
    </row>
    <row r="368" spans="1:17" ht="13.2" x14ac:dyDescent="0.25">
      <c r="A368" s="88" t="s">
        <v>359</v>
      </c>
      <c r="B368" s="91">
        <v>88</v>
      </c>
      <c r="C368" s="75">
        <f>16255.3/1000</f>
        <v>16.255299999999998</v>
      </c>
      <c r="D368" s="76">
        <f ca="1">IFERROR(__xludf.DUMMYFUNCTION("$C362*IMPORTRANGE(""https://docs.google.com/spreadsheets/d/1xsp01RMmkav9iTy39Zaj_7tE9677EGlOJ14KU9TZn7I/"",""2004-2017!H2372"")"),13.1373709069999)</f>
        <v>13.1373709069999</v>
      </c>
      <c r="E368" s="76">
        <f ca="1">IFERROR(__xludf.DUMMYFUNCTION("$C362*IMPORTRANGE(""https://docs.google.com/spreadsheets/d/1xsp01RMmkav9iTy39Zaj_7tE9677EGlOJ14KU9TZn7I/"",""2004-2017!T2372"")"),10.36600481)</f>
        <v>10.36600481</v>
      </c>
      <c r="F368" s="76">
        <f ca="1">IFERROR(__xludf.DUMMYFUNCTION("$C362*IMPORTRANGE(""https://docs.google.com/spreadsheets/d/1xsp01RMmkav9iTy39Zaj_7tE9677EGlOJ14KU9TZn7I/"",""2004-2017!AC2372"")"),1277.82914925529)</f>
        <v>1277.8291492552901</v>
      </c>
      <c r="G368" s="73" t="s">
        <v>8</v>
      </c>
      <c r="K368" s="2"/>
      <c r="L368" s="3"/>
      <c r="M368" s="122"/>
      <c r="N368" s="122"/>
      <c r="O368" s="122"/>
      <c r="P368" s="122"/>
      <c r="Q368" s="2"/>
    </row>
    <row r="369" spans="1:17" ht="13.2" x14ac:dyDescent="0.25">
      <c r="A369" s="87" t="s">
        <v>360</v>
      </c>
      <c r="B369" s="90">
        <v>99</v>
      </c>
      <c r="C369" s="63">
        <f>5317.6/1000</f>
        <v>5.3176000000000005</v>
      </c>
      <c r="D369" s="72">
        <f ca="1">IFERROR(__xludf.DUMMYFUNCTION("$C363*IMPORTRANGE(""https://docs.google.com/spreadsheets/d/1xsp01RMmkav9iTy39Zaj_7tE9677EGlOJ14KU9TZn7I/"",""2004-2017!H2393"")"),4.121645172)</f>
        <v>4.121645172</v>
      </c>
      <c r="E369" s="72">
        <f ca="1">IFERROR(__xludf.DUMMYFUNCTION("$C363*IMPORTRANGE(""https://docs.google.com/spreadsheets/d/1xsp01RMmkav9iTy39Zaj_7tE9677EGlOJ14KU9TZn7I/"",""2004-2017!T2393"")"),3.28920148)</f>
        <v>3.28920148</v>
      </c>
      <c r="F369" s="72">
        <f ca="1">IFERROR(__xludf.DUMMYFUNCTION("$C363*IMPORTRANGE(""https://docs.google.com/spreadsheets/d/1xsp01RMmkav9iTy39Zaj_7tE9677EGlOJ14KU9TZn7I/"",""2004-2017!AC2393"")"),415.955966)</f>
        <v>415.95596599999999</v>
      </c>
      <c r="G369" s="61" t="s">
        <v>8</v>
      </c>
      <c r="K369" s="2"/>
      <c r="L369" s="3"/>
      <c r="M369" s="122"/>
      <c r="N369" s="122"/>
      <c r="O369" s="122"/>
      <c r="P369" s="122"/>
      <c r="Q369" s="2"/>
    </row>
    <row r="370" spans="1:17" ht="13.2" x14ac:dyDescent="0.25">
      <c r="A370" s="88" t="s">
        <v>361</v>
      </c>
      <c r="B370" s="91">
        <v>91</v>
      </c>
      <c r="C370" s="75">
        <f>9260.1/1000</f>
        <v>9.2600999999999996</v>
      </c>
      <c r="D370" s="76">
        <f ca="1">IFERROR(__xludf.DUMMYFUNCTION("$C364*IMPORTRANGE(""https://docs.google.com/spreadsheets/d/1xsp01RMmkav9iTy39Zaj_7tE9677EGlOJ14KU9TZn7I/"",""2004-2017!H2417"")"),7.14370414499999)</f>
        <v>7.1437041449999903</v>
      </c>
      <c r="E370" s="76">
        <f ca="1">IFERROR(__xludf.DUMMYFUNCTION("$C364*IMPORTRANGE(""https://docs.google.com/spreadsheets/d/1xsp01RMmkav9iTy39Zaj_7tE9677EGlOJ14KU9TZn7I/"",""2004-2017!T2417"")"),5.76070821)</f>
        <v>5.7607082099999998</v>
      </c>
      <c r="F370" s="76">
        <f ca="1">IFERROR(__xludf.DUMMYFUNCTION("$C364*IMPORTRANGE(""https://docs.google.com/spreadsheets/d/1xsp01RMmkav9iTy39Zaj_7tE9677EGlOJ14KU9TZn7I/"",""2004-2017!AC2417"")"),729.594028160099)</f>
        <v>729.59402816009901</v>
      </c>
      <c r="G370" s="73" t="s">
        <v>8</v>
      </c>
      <c r="K370" s="2"/>
      <c r="L370" s="3"/>
      <c r="M370" s="122"/>
      <c r="N370" s="122"/>
      <c r="O370" s="122"/>
      <c r="P370" s="122"/>
      <c r="Q370" s="2"/>
    </row>
    <row r="371" spans="1:17" ht="13.2" x14ac:dyDescent="0.25">
      <c r="A371" s="87" t="s">
        <v>362</v>
      </c>
      <c r="B371" s="90">
        <v>84</v>
      </c>
      <c r="C371" s="63">
        <f>16009.9/1000</f>
        <v>16.009899999999998</v>
      </c>
      <c r="D371" s="72">
        <f ca="1">IFERROR(__xludf.DUMMYFUNCTION("$C365*IMPORTRANGE(""https://docs.google.com/spreadsheets/d/1xsp01RMmkav9iTy39Zaj_7tE9677EGlOJ14KU9TZn7I/"",""2004-2017!H2440"")"),12.4967675934999)</f>
        <v>12.4967675934999</v>
      </c>
      <c r="E371" s="72">
        <f ca="1">IFERROR(__xludf.DUMMYFUNCTION("$C365*IMPORTRANGE(""https://docs.google.com/spreadsheets/d/1xsp01RMmkav9iTy39Zaj_7tE9677EGlOJ14KU9TZn7I/"",""2004-2017!T2440"")"),10.018835321)</f>
        <v>10.018835320999999</v>
      </c>
      <c r="F371" s="72">
        <f ca="1">IFERROR(__xludf.DUMMYFUNCTION("$C365*IMPORTRANGE(""https://docs.google.com/spreadsheets/d/1xsp01RMmkav9iTy39Zaj_7tE9677EGlOJ14KU9TZn7I/"",""2004-2017!AC2440"")"),1293.76004301484)</f>
        <v>1293.76004301484</v>
      </c>
      <c r="G371" s="61" t="s">
        <v>8</v>
      </c>
      <c r="K371" s="2"/>
      <c r="L371" s="3"/>
      <c r="M371" s="122"/>
      <c r="N371" s="122"/>
      <c r="O371" s="122"/>
      <c r="P371" s="122"/>
      <c r="Q371" s="2"/>
    </row>
    <row r="372" spans="1:17" ht="13.2" x14ac:dyDescent="0.25">
      <c r="A372" s="89" t="s">
        <v>363</v>
      </c>
      <c r="B372" s="92">
        <v>93</v>
      </c>
      <c r="C372" s="79">
        <f>17307.5/1000</f>
        <v>17.307500000000001</v>
      </c>
      <c r="D372" s="80">
        <f ca="1">IFERROR(__xludf.DUMMYFUNCTION("$C366*IMPORTRANGE(""https://docs.google.com/spreadsheets/d/1xsp01RMmkav9iTy39Zaj_7tE9677EGlOJ14KU9TZn7I/"",""2004-2017!H2462"")"),13.146257775)</f>
        <v>13.146257775</v>
      </c>
      <c r="E372" s="80">
        <f ca="1">IFERROR(__xludf.DUMMYFUNCTION("$C366*IMPORTRANGE(""https://docs.google.com/spreadsheets/d/1xsp01RMmkav9iTy39Zaj_7tE9677EGlOJ14KU9TZn7I/"",""2004-2017!T2462"")"),10.73238075)</f>
        <v>10.732380750000001</v>
      </c>
      <c r="F372" s="80">
        <f ca="1">IFERROR(__xludf.DUMMYFUNCTION("$C366*IMPORTRANGE(""https://docs.google.com/spreadsheets/d/1xsp01RMmkav9iTy39Zaj_7tE9677EGlOJ14KU9TZn7I/"",""2004-2017!AC2462"")"),1452.1511725)</f>
        <v>1452.1511725</v>
      </c>
      <c r="G372" s="77" t="s">
        <v>8</v>
      </c>
      <c r="K372" s="2"/>
      <c r="L372" s="3"/>
      <c r="M372" s="122"/>
      <c r="N372" s="122"/>
      <c r="O372" s="122"/>
      <c r="P372" s="122"/>
      <c r="Q372" s="2"/>
    </row>
    <row r="373" spans="1:17" ht="13.2" x14ac:dyDescent="0.25">
      <c r="A373" s="58">
        <v>2013</v>
      </c>
      <c r="B373" s="59"/>
      <c r="C373" s="93"/>
      <c r="D373" s="93"/>
      <c r="E373" s="93"/>
      <c r="F373" s="93"/>
      <c r="G373" s="58"/>
      <c r="K373" s="2"/>
      <c r="L373" s="3"/>
      <c r="M373" s="122"/>
      <c r="N373" s="122"/>
      <c r="O373" s="122"/>
      <c r="P373" s="122"/>
      <c r="Q373" s="2"/>
    </row>
    <row r="374" spans="1:17" ht="13.2" x14ac:dyDescent="0.25">
      <c r="A374" s="87" t="s">
        <v>364</v>
      </c>
      <c r="B374" s="90">
        <v>90</v>
      </c>
      <c r="C374" s="63">
        <f>3089.02/1000</f>
        <v>3.0890200000000001</v>
      </c>
      <c r="D374" s="72">
        <f ca="1">IFERROR(__xludf.DUMMYFUNCTION("$C368*IMPORTRANGE(""https://docs.google.com/spreadsheets/d/1xsp01RMmkav9iTy39Zaj_7tE9677EGlOJ14KU9TZn7I/"",""2004-2017!H2487"")"),2.32108962799999)</f>
        <v>2.32108962799999</v>
      </c>
      <c r="E374" s="72">
        <f ca="1">IFERROR(__xludf.DUMMYFUNCTION("$C368*IMPORTRANGE(""https://docs.google.com/spreadsheets/d/1xsp01RMmkav9iTy39Zaj_7tE9677EGlOJ14KU9TZn7I/"",""2004-2017!T2487"")"),1.928784088)</f>
        <v>1.928784088</v>
      </c>
      <c r="F374" s="72">
        <f ca="1">IFERROR(__xludf.DUMMYFUNCTION("$C368*IMPORTRANGE(""https://docs.google.com/spreadsheets/d/1xsp01RMmkav9iTy39Zaj_7tE9677EGlOJ14KU9TZn7I/"",""2004-2017!AC2487"")"),274.150525)</f>
        <v>274.15052500000002</v>
      </c>
      <c r="G374" s="61" t="s">
        <v>8</v>
      </c>
      <c r="K374" s="2"/>
      <c r="L374" s="3"/>
      <c r="M374" s="122"/>
      <c r="N374" s="122"/>
      <c r="O374" s="122"/>
      <c r="P374" s="122"/>
      <c r="Q374" s="2"/>
    </row>
    <row r="375" spans="1:17" ht="13.2" x14ac:dyDescent="0.25">
      <c r="A375" s="88" t="s">
        <v>365</v>
      </c>
      <c r="B375" s="91">
        <v>89</v>
      </c>
      <c r="C375" s="75">
        <f>3621.6/1000</f>
        <v>3.6215999999999999</v>
      </c>
      <c r="D375" s="76">
        <f ca="1">IFERROR(__xludf.DUMMYFUNCTION("$C369*IMPORTRANGE(""https://docs.google.com/spreadsheets/d/1xsp01RMmkav9iTy39Zaj_7tE9677EGlOJ14KU9TZn7I/"",""2004-2017!H2508"")"),2.70696492)</f>
        <v>2.7069649199999999</v>
      </c>
      <c r="E375" s="76">
        <f ca="1">IFERROR(__xludf.DUMMYFUNCTION("$C369*IMPORTRANGE(""https://docs.google.com/spreadsheets/d/1xsp01RMmkav9iTy39Zaj_7tE9677EGlOJ14KU9TZn7I/"",""2004-2017!T2508"")"),2.335044708)</f>
        <v>2.3350447079999999</v>
      </c>
      <c r="F375" s="76">
        <f ca="1">IFERROR(__xludf.DUMMYFUNCTION("$C369*IMPORTRANGE(""https://docs.google.com/spreadsheets/d/1xsp01RMmkav9iTy39Zaj_7tE9677EGlOJ14KU9TZn7I/"",""2004-2017!AC2508"")"),337.8246533676)</f>
        <v>337.82465336759998</v>
      </c>
      <c r="G375" s="73" t="s">
        <v>8</v>
      </c>
      <c r="K375" s="2"/>
      <c r="L375" s="3"/>
      <c r="M375" s="122"/>
      <c r="N375" s="122"/>
      <c r="O375" s="122"/>
      <c r="P375" s="122"/>
      <c r="Q375" s="2"/>
    </row>
    <row r="376" spans="1:17" ht="13.2" x14ac:dyDescent="0.25">
      <c r="A376" s="87" t="s">
        <v>366</v>
      </c>
      <c r="B376" s="90">
        <v>90</v>
      </c>
      <c r="C376" s="63">
        <f>2241.5/1000</f>
        <v>2.2414999999999998</v>
      </c>
      <c r="D376" s="72">
        <f ca="1">IFERROR(__xludf.DUMMYFUNCTION("$C370*IMPORTRANGE(""https://docs.google.com/spreadsheets/d/1xsp01RMmkav9iTy39Zaj_7tE9677EGlOJ14KU9TZn7I/"",""2004-2017!H2530"")"),1.72707574999999)</f>
        <v>1.72707574999999</v>
      </c>
      <c r="E376" s="72">
        <f ca="1">IFERROR(__xludf.DUMMYFUNCTION("$C370*IMPORTRANGE(""https://docs.google.com/spreadsheets/d/1xsp01RMmkav9iTy39Zaj_7tE9677EGlOJ14KU9TZn7I/"",""2004-2017!T2530"")"),1.48454545)</f>
        <v>1.4845454499999999</v>
      </c>
      <c r="F376" s="72">
        <f ca="1">IFERROR(__xludf.DUMMYFUNCTION("$C370*IMPORTRANGE(""https://docs.google.com/spreadsheets/d/1xsp01RMmkav9iTy39Zaj_7tE9677EGlOJ14KU9TZn7I/"",""2004-2017!AC2530"")"),212.693693499999)</f>
        <v>212.693693499999</v>
      </c>
      <c r="G376" s="61" t="s">
        <v>8</v>
      </c>
      <c r="K376" s="2"/>
      <c r="L376" s="3"/>
      <c r="M376" s="122"/>
      <c r="N376" s="122"/>
      <c r="O376" s="122"/>
      <c r="P376" s="122"/>
      <c r="Q376" s="2"/>
    </row>
    <row r="377" spans="1:17" ht="13.2" x14ac:dyDescent="0.25">
      <c r="A377" s="88" t="s">
        <v>367</v>
      </c>
      <c r="B377" s="91">
        <v>81</v>
      </c>
      <c r="C377" s="75">
        <f>2491.7/1000</f>
        <v>2.4916999999999998</v>
      </c>
      <c r="D377" s="76">
        <f ca="1">IFERROR(__xludf.DUMMYFUNCTION("$C371*IMPORTRANGE(""https://docs.google.com/spreadsheets/d/1xsp01RMmkav9iTy39Zaj_7tE9677EGlOJ14KU9TZn7I/"",""2004-2017!H2553"")"),1.91099685649999)</f>
        <v>1.91099685649999</v>
      </c>
      <c r="E377" s="76">
        <f ca="1">IFERROR(__xludf.DUMMYFUNCTION("$C371*IMPORTRANGE(""https://docs.google.com/spreadsheets/d/1xsp01RMmkav9iTy39Zaj_7tE9677EGlOJ14KU9TZn7I/"",""2004-2017!T2553"")"),1.62958425849999)</f>
        <v>1.62958425849999</v>
      </c>
      <c r="F377" s="76">
        <f ca="1">IFERROR(__xludf.DUMMYFUNCTION("$C371*IMPORTRANGE(""https://docs.google.com/spreadsheets/d/1xsp01RMmkav9iTy39Zaj_7tE9677EGlOJ14KU9TZn7I/"",""2004-2017!AC2553"")"),244.945323895849)</f>
        <v>244.94532389584899</v>
      </c>
      <c r="G377" s="73" t="s">
        <v>8</v>
      </c>
      <c r="K377" s="2"/>
      <c r="L377" s="3"/>
      <c r="M377" s="122"/>
      <c r="N377" s="122"/>
      <c r="O377" s="122"/>
      <c r="P377" s="122"/>
      <c r="Q377" s="2"/>
    </row>
    <row r="378" spans="1:17" ht="13.2" x14ac:dyDescent="0.25">
      <c r="A378" s="87" t="s">
        <v>368</v>
      </c>
      <c r="B378" s="90">
        <v>97</v>
      </c>
      <c r="C378" s="63">
        <f>7360.2/1000</f>
        <v>7.3601999999999999</v>
      </c>
      <c r="D378" s="72">
        <f ca="1">IFERROR(__xludf.DUMMYFUNCTION("$C372*IMPORTRANGE(""https://docs.google.com/spreadsheets/d/1xsp01RMmkav9iTy39Zaj_7tE9677EGlOJ14KU9TZn7I/"",""2004-2017!H2577"")"),5.68450326599999)</f>
        <v>5.6845032659999903</v>
      </c>
      <c r="E378" s="72">
        <f ca="1">IFERROR(__xludf.DUMMYFUNCTION("$C372*IMPORTRANGE(""https://docs.google.com/spreadsheets/d/1xsp01RMmkav9iTy39Zaj_7tE9677EGlOJ14KU9TZn7I/"",""2004-2017!T2577"")"),4.822476642)</f>
        <v>4.8224766419999998</v>
      </c>
      <c r="F378" s="72">
        <f ca="1">IFERROR(__xludf.DUMMYFUNCTION("$C372*IMPORTRANGE(""https://docs.google.com/spreadsheets/d/1xsp01RMmkav9iTy39Zaj_7tE9677EGlOJ14KU9TZn7I/"",""2004-2017!AC2577"")"),744.1530430806)</f>
        <v>744.15304308060001</v>
      </c>
      <c r="G378" s="61" t="s">
        <v>8</v>
      </c>
      <c r="K378" s="2"/>
      <c r="L378" s="3"/>
      <c r="M378" s="122"/>
      <c r="N378" s="122"/>
      <c r="O378" s="122"/>
      <c r="P378" s="122"/>
      <c r="Q378" s="2"/>
    </row>
    <row r="379" spans="1:17" ht="13.2" x14ac:dyDescent="0.25">
      <c r="A379" s="88" t="s">
        <v>369</v>
      </c>
      <c r="B379" s="91">
        <v>101</v>
      </c>
      <c r="C379" s="75">
        <f>7471.3/1000</f>
        <v>7.4713000000000003</v>
      </c>
      <c r="D379" s="76">
        <f ca="1">IFERROR(__xludf.DUMMYFUNCTION("$C373*IMPORTRANGE(""https://docs.google.com/spreadsheets/d/1xsp01RMmkav9iTy39Zaj_7tE9677EGlOJ14KU9TZn7I/"",""2004-2017!H2598"")"),5.64979706)</f>
        <v>5.64979706</v>
      </c>
      <c r="E379" s="76">
        <f ca="1">IFERROR(__xludf.DUMMYFUNCTION("$C373*IMPORTRANGE(""https://docs.google.com/spreadsheets/d/1xsp01RMmkav9iTy39Zaj_7tE9677EGlOJ14KU9TZn7I/"",""2004-2017!T2598"")"),4.820258621)</f>
        <v>4.8202586209999998</v>
      </c>
      <c r="F379" s="76">
        <f ca="1">IFERROR(__xludf.DUMMYFUNCTION("$C373*IMPORTRANGE(""https://docs.google.com/spreadsheets/d/1xsp01RMmkav9iTy39Zaj_7tE9677EGlOJ14KU9TZn7I/"",""2004-2017!AC2598"")"),729.57616197175)</f>
        <v>729.57616197175003</v>
      </c>
      <c r="G379" s="73" t="s">
        <v>8</v>
      </c>
      <c r="K379" s="2"/>
      <c r="L379" s="3"/>
      <c r="M379" s="122"/>
      <c r="N379" s="122"/>
      <c r="O379" s="122"/>
      <c r="P379" s="122"/>
      <c r="Q379" s="2"/>
    </row>
    <row r="380" spans="1:17" ht="13.2" x14ac:dyDescent="0.25">
      <c r="A380" s="87" t="s">
        <v>370</v>
      </c>
      <c r="B380" s="90">
        <v>95</v>
      </c>
      <c r="C380" s="63">
        <f>2798.5/1000</f>
        <v>2.7985000000000002</v>
      </c>
      <c r="D380" s="72">
        <f ca="1">IFERROR(__xludf.DUMMYFUNCTION("$C374*IMPORTRANGE(""https://docs.google.com/spreadsheets/d/1xsp01RMmkav9iTy39Zaj_7tE9677EGlOJ14KU9TZn7I/"",""2004-2017!H2622"")"),2.13452789)</f>
        <v>2.1345278900000002</v>
      </c>
      <c r="E380" s="72">
        <f ca="1">IFERROR(__xludf.DUMMYFUNCTION("$C374*IMPORTRANGE(""https://docs.google.com/spreadsheets/d/1xsp01RMmkav9iTy39Zaj_7tE9677EGlOJ14KU9TZn7I/"",""2004-2017!T2622"")"),1.839929795)</f>
        <v>1.839929795</v>
      </c>
      <c r="F380" s="72">
        <f ca="1">IFERROR(__xludf.DUMMYFUNCTION("$C374*IMPORTRANGE(""https://docs.google.com/spreadsheets/d/1xsp01RMmkav9iTy39Zaj_7tE9677EGlOJ14KU9TZn7I/"",""2004-2017!AC2622"")"),278.890108903)</f>
        <v>278.890108903</v>
      </c>
      <c r="G380" s="61" t="s">
        <v>8</v>
      </c>
      <c r="K380" s="2"/>
      <c r="L380" s="3"/>
      <c r="M380" s="122"/>
      <c r="N380" s="122"/>
      <c r="O380" s="122"/>
      <c r="P380" s="122"/>
      <c r="Q380" s="2"/>
    </row>
    <row r="381" spans="1:17" ht="13.2" x14ac:dyDescent="0.25">
      <c r="A381" s="88" t="s">
        <v>371</v>
      </c>
      <c r="B381" s="91">
        <v>79</v>
      </c>
      <c r="C381" s="75">
        <f>2703.3/1000</f>
        <v>2.7033</v>
      </c>
      <c r="D381" s="76">
        <f ca="1">IFERROR(__xludf.DUMMYFUNCTION("$C375*IMPORTRANGE(""https://docs.google.com/spreadsheets/d/1xsp01RMmkav9iTy39Zaj_7tE9677EGlOJ14KU9TZn7I/"",""2004-2017!H2645"")"),2.027312802)</f>
        <v>2.027312802</v>
      </c>
      <c r="E381" s="76">
        <f ca="1">IFERROR(__xludf.DUMMYFUNCTION("$C375*IMPORTRANGE(""https://docs.google.com/spreadsheets/d/1xsp01RMmkav9iTy39Zaj_7tE9677EGlOJ14KU9TZn7I/"",""2004-2017!T2645"")"),1.7416145415)</f>
        <v>1.7416145414999999</v>
      </c>
      <c r="F381" s="76">
        <f ca="1">IFERROR(__xludf.DUMMYFUNCTION("$C375*IMPORTRANGE(""https://docs.google.com/spreadsheets/d/1xsp01RMmkav9iTy39Zaj_7tE9677EGlOJ14KU9TZn7I/"",""2004-2017!AC2645"")"),264.29893094175)</f>
        <v>264.29893094174997</v>
      </c>
      <c r="G381" s="73" t="s">
        <v>8</v>
      </c>
      <c r="K381" s="2"/>
      <c r="L381" s="3"/>
      <c r="M381" s="122"/>
      <c r="N381" s="122"/>
      <c r="O381" s="122"/>
      <c r="P381" s="122"/>
      <c r="Q381" s="2"/>
    </row>
    <row r="382" spans="1:17" ht="13.2" x14ac:dyDescent="0.25">
      <c r="A382" s="87" t="s">
        <v>372</v>
      </c>
      <c r="B382" s="90">
        <v>73</v>
      </c>
      <c r="C382" s="63">
        <f>6046.9/1000</f>
        <v>6.0468999999999999</v>
      </c>
      <c r="D382" s="72">
        <f ca="1">IFERROR(__xludf.DUMMYFUNCTION("$C376*IMPORTRANGE(""https://docs.google.com/spreadsheets/d/1xsp01RMmkav9iTy39Zaj_7tE9677EGlOJ14KU9TZn7I/"",""2004-2017!H2667"")"),4.53360280599999)</f>
        <v>4.5336028059999904</v>
      </c>
      <c r="E382" s="72">
        <f ca="1">IFERROR(__xludf.DUMMYFUNCTION("$C376*IMPORTRANGE(""https://docs.google.com/spreadsheets/d/1xsp01RMmkav9iTy39Zaj_7tE9677EGlOJ14KU9TZn7I/"",""2004-2017!T2667"")"),3.802351189)</f>
        <v>3.8023511889999999</v>
      </c>
      <c r="F382" s="72">
        <f ca="1">IFERROR(__xludf.DUMMYFUNCTION("$C376*IMPORTRANGE(""https://docs.google.com/spreadsheets/d/1xsp01RMmkav9iTy39Zaj_7tE9677EGlOJ14KU9TZn7I/"",""2004-2017!AC2667"")"),600.3180913)</f>
        <v>600.31809129999999</v>
      </c>
      <c r="G382" s="61" t="s">
        <v>8</v>
      </c>
      <c r="K382" s="2"/>
      <c r="L382" s="3"/>
      <c r="M382" s="122"/>
      <c r="N382" s="122"/>
      <c r="O382" s="122"/>
      <c r="P382" s="122"/>
      <c r="Q382" s="2"/>
    </row>
    <row r="383" spans="1:17" ht="13.2" x14ac:dyDescent="0.25">
      <c r="A383" s="88" t="s">
        <v>373</v>
      </c>
      <c r="B383" s="91">
        <v>91</v>
      </c>
      <c r="C383" s="75">
        <f>10150/1000</f>
        <v>10.15</v>
      </c>
      <c r="D383" s="76">
        <f ca="1">IFERROR(__xludf.DUMMYFUNCTION("$C377*IMPORTRANGE(""https://docs.google.com/spreadsheets/d/1xsp01RMmkav9iTy39Zaj_7tE9677EGlOJ14KU9TZn7I/"",""2004-2017!H2691"")"),7.45715425)</f>
        <v>7.4571542500000003</v>
      </c>
      <c r="E383" s="76">
        <f ca="1">IFERROR(__xludf.DUMMYFUNCTION("$C377*IMPORTRANGE(""https://docs.google.com/spreadsheets/d/1xsp01RMmkav9iTy39Zaj_7tE9677EGlOJ14KU9TZn7I/"",""2004-2017!T2691"")"),6.28929524999999)</f>
        <v>6.2892952499999897</v>
      </c>
      <c r="F383" s="76">
        <f ca="1">IFERROR(__xludf.DUMMYFUNCTION("$C377*IMPORTRANGE(""https://docs.google.com/spreadsheets/d/1xsp01RMmkav9iTy39Zaj_7tE9677EGlOJ14KU9TZn7I/"",""2004-2017!AC2691"")"),994.278775)</f>
        <v>994.278775</v>
      </c>
      <c r="G383" s="73" t="s">
        <v>8</v>
      </c>
      <c r="K383" s="2"/>
      <c r="L383" s="3"/>
      <c r="M383" s="122"/>
      <c r="N383" s="122"/>
      <c r="O383" s="122"/>
      <c r="P383" s="122"/>
      <c r="Q383" s="2"/>
    </row>
    <row r="384" spans="1:17" ht="13.2" x14ac:dyDescent="0.25">
      <c r="A384" s="87" t="s">
        <v>374</v>
      </c>
      <c r="B384" s="90">
        <v>93</v>
      </c>
      <c r="C384" s="63">
        <f>4225.7/1000</f>
        <v>4.2256999999999998</v>
      </c>
      <c r="D384" s="72">
        <f ca="1">IFERROR(__xludf.DUMMYFUNCTION("$C378*IMPORTRANGE(""https://docs.google.com/spreadsheets/d/1xsp01RMmkav9iTy39Zaj_7tE9677EGlOJ14KU9TZn7I/"",""2004-2017!H2713"")"),3.131539499)</f>
        <v>3.1315394990000001</v>
      </c>
      <c r="E384" s="72">
        <f ca="1">IFERROR(__xludf.DUMMYFUNCTION("$C378*IMPORTRANGE(""https://docs.google.com/spreadsheets/d/1xsp01RMmkav9iTy39Zaj_7tE9677EGlOJ14KU9TZn7I/"",""2004-2017!T2713"")"),2.626483835)</f>
        <v>2.6264838350000002</v>
      </c>
      <c r="F384" s="72">
        <f ca="1">IFERROR(__xludf.DUMMYFUNCTION("$C378*IMPORTRANGE(""https://docs.google.com/spreadsheets/d/1xsp01RMmkav9iTy39Zaj_7tE9677EGlOJ14KU9TZn7I/"",""2004-2017!AC2713"")"),421.9910748743)</f>
        <v>421.99107487430001</v>
      </c>
      <c r="G384" s="61" t="s">
        <v>8</v>
      </c>
      <c r="K384" s="2"/>
      <c r="L384" s="3"/>
      <c r="M384" s="122"/>
      <c r="N384" s="122"/>
      <c r="O384" s="122"/>
      <c r="P384" s="122"/>
      <c r="Q384" s="2"/>
    </row>
    <row r="385" spans="1:17" ht="13.2" x14ac:dyDescent="0.25">
      <c r="A385" s="89" t="s">
        <v>375</v>
      </c>
      <c r="B385" s="92">
        <v>135</v>
      </c>
      <c r="C385" s="79">
        <f>5855.2/1000</f>
        <v>5.8552</v>
      </c>
      <c r="D385" s="80">
        <f ca="1">IFERROR(__xludf.DUMMYFUNCTION("$C379*IMPORTRANGE(""https://docs.google.com/spreadsheets/d/1xsp01RMmkav9iTy39Zaj_7tE9677EGlOJ14KU9TZn7I/"",""2004-2017!H2736"")"),4.27447165599999)</f>
        <v>4.2744716559999896</v>
      </c>
      <c r="E385" s="80">
        <f ca="1">IFERROR(__xludf.DUMMYFUNCTION("$C379*IMPORTRANGE(""https://docs.google.com/spreadsheets/d/1xsp01RMmkav9iTy39Zaj_7tE9677EGlOJ14KU9TZn7I/"",""2004-2017!T2736"")"),3.577263716)</f>
        <v>3.577263716</v>
      </c>
      <c r="F385" s="80">
        <f ca="1">IFERROR(__xludf.DUMMYFUNCTION("$C379*IMPORTRANGE(""https://docs.google.com/spreadsheets/d/1xsp01RMmkav9iTy39Zaj_7tE9677EGlOJ14KU9TZn7I/"",""2004-2017!AC2736"")"),604.6547818896)</f>
        <v>604.65478188960003</v>
      </c>
      <c r="G385" s="77" t="s">
        <v>8</v>
      </c>
      <c r="K385" s="2"/>
      <c r="L385" s="3"/>
      <c r="M385" s="122"/>
      <c r="N385" s="122"/>
      <c r="O385" s="122"/>
      <c r="P385" s="122"/>
      <c r="Q385" s="2"/>
    </row>
    <row r="386" spans="1:17" ht="13.2" x14ac:dyDescent="0.25">
      <c r="A386" s="58">
        <v>2014</v>
      </c>
      <c r="B386" s="59"/>
      <c r="C386" s="93"/>
      <c r="D386" s="93"/>
      <c r="E386" s="93"/>
      <c r="F386" s="93"/>
      <c r="G386" s="58"/>
      <c r="K386" s="2"/>
      <c r="L386" s="3"/>
      <c r="M386" s="122"/>
      <c r="N386" s="122"/>
      <c r="O386" s="122"/>
      <c r="P386" s="122"/>
      <c r="Q386" s="2"/>
    </row>
    <row r="387" spans="1:17" ht="13.2" x14ac:dyDescent="0.25">
      <c r="A387" s="87" t="s">
        <v>376</v>
      </c>
      <c r="B387" s="90">
        <v>84</v>
      </c>
      <c r="C387" s="63">
        <f>3625.7/1000</f>
        <v>3.6256999999999997</v>
      </c>
      <c r="D387" s="72">
        <f ca="1">IFERROR(__xludf.DUMMYFUNCTION("$C381*IMPORTRANGE(""https://docs.google.com/spreadsheets/d/1xsp01RMmkav9iTy39Zaj_7tE9677EGlOJ14KU9TZn7I/"",""2004-2017!H2738"")"),2.659704749)</f>
        <v>2.6597047489999999</v>
      </c>
      <c r="E387" s="72">
        <f ca="1">IFERROR(__xludf.DUMMYFUNCTION("$C381*IMPORTRANGE(""https://docs.google.com/spreadsheets/d/1xsp01RMmkav9iTy39Zaj_7tE9677EGlOJ14KU9TZn7I/"",""2004-2017!T2738"")"),2.200691129)</f>
        <v>2.200691129</v>
      </c>
      <c r="F387" s="72">
        <f ca="1">IFERROR(__xludf.DUMMYFUNCTION("$C381*IMPORTRANGE(""https://docs.google.com/spreadsheets/d/1xsp01RMmkav9iTy39Zaj_7tE9677EGlOJ14KU9TZn7I/"",""2004-2017!AC2738"")"),377.8885752486)</f>
        <v>377.88857524859998</v>
      </c>
      <c r="G387" s="61" t="s">
        <v>8</v>
      </c>
      <c r="K387" s="2"/>
      <c r="L387" s="3"/>
      <c r="M387" s="122"/>
      <c r="N387" s="122"/>
      <c r="O387" s="122"/>
      <c r="P387" s="122"/>
      <c r="Q387" s="2"/>
    </row>
    <row r="388" spans="1:17" ht="13.2" x14ac:dyDescent="0.25">
      <c r="A388" s="88" t="s">
        <v>377</v>
      </c>
      <c r="B388" s="91">
        <v>89</v>
      </c>
      <c r="C388" s="75">
        <f>3274.4/1000</f>
        <v>3.2744</v>
      </c>
      <c r="D388" s="76">
        <f ca="1">IFERROR(__xludf.DUMMYFUNCTION("$C382*IMPORTRANGE(""https://docs.google.com/spreadsheets/d/1xsp01RMmkav9iTy39Zaj_7tE9677EGlOJ14KU9TZn7I/"",""2004-2017!H2782"")"),2.39350454)</f>
        <v>2.3935045399999999</v>
      </c>
      <c r="E388" s="76">
        <f ca="1">IFERROR(__xludf.DUMMYFUNCTION("$C382*IMPORTRANGE(""https://docs.google.com/spreadsheets/d/1xsp01RMmkav9iTy39Zaj_7tE9677EGlOJ14KU9TZn7I/"",""2004-2017!T2782"")"),1.96717766)</f>
        <v>1.9671776599999999</v>
      </c>
      <c r="F388" s="76">
        <f ca="1">IFERROR(__xludf.DUMMYFUNCTION("$C382*IMPORTRANGE(""https://docs.google.com/spreadsheets/d/1xsp01RMmkav9iTy39Zaj_7tE9677EGlOJ14KU9TZn7I/"",""2004-2017!AC2782"")"),334.610944186)</f>
        <v>334.61094418599998</v>
      </c>
      <c r="G388" s="73" t="s">
        <v>8</v>
      </c>
      <c r="K388" s="2"/>
      <c r="L388" s="3"/>
      <c r="M388" s="122"/>
      <c r="N388" s="122"/>
      <c r="O388" s="122"/>
      <c r="P388" s="122"/>
      <c r="Q388" s="2"/>
    </row>
    <row r="389" spans="1:17" ht="13.2" x14ac:dyDescent="0.25">
      <c r="A389" s="87" t="s">
        <v>378</v>
      </c>
      <c r="B389" s="90">
        <v>84</v>
      </c>
      <c r="C389" s="63">
        <f>38433.2/1000</f>
        <v>38.433199999999999</v>
      </c>
      <c r="D389" s="72">
        <f ca="1">IFERROR(__xludf.DUMMYFUNCTION("$C383*IMPORTRANGE(""https://docs.google.com/spreadsheets/d/1xsp01RMmkav9iTy39Zaj_7tE9677EGlOJ14KU9TZn7I/"",""2004-2017!H2804"")"),27.8114165159999)</f>
        <v>27.811416515999898</v>
      </c>
      <c r="E389" s="72">
        <f ca="1">IFERROR(__xludf.DUMMYFUNCTION("$C383*IMPORTRANGE(""https://docs.google.com/spreadsheets/d/1xsp01RMmkav9iTy39Zaj_7tE9677EGlOJ14KU9TZn7I/"",""2004-2017!T2804"")"),23.1175698)</f>
        <v>23.117569799999998</v>
      </c>
      <c r="F389" s="72">
        <f ca="1">IFERROR(__xludf.DUMMYFUNCTION("$C383*IMPORTRANGE(""https://docs.google.com/spreadsheets/d/1xsp01RMmkav9iTy39Zaj_7tE9677EGlOJ14KU9TZn7I/"",""2004-2017!AC2804"")"),3929.44868590039)</f>
        <v>3929.44868590039</v>
      </c>
      <c r="G389" s="61" t="s">
        <v>8</v>
      </c>
      <c r="K389" s="2"/>
      <c r="L389" s="3"/>
      <c r="M389" s="122"/>
      <c r="N389" s="122"/>
      <c r="O389" s="122"/>
      <c r="P389" s="122"/>
      <c r="Q389" s="2"/>
    </row>
    <row r="390" spans="1:17" ht="13.2" x14ac:dyDescent="0.25">
      <c r="A390" s="88" t="s">
        <v>379</v>
      </c>
      <c r="B390" s="91">
        <v>119</v>
      </c>
      <c r="C390" s="75">
        <f>5369.7/1000</f>
        <v>5.3696999999999999</v>
      </c>
      <c r="D390" s="76">
        <f ca="1">IFERROR(__xludf.DUMMYFUNCTION("$C384*IMPORTRANGE(""https://docs.google.com/spreadsheets/d/1xsp01RMmkav9iTy39Zaj_7tE9677EGlOJ14KU9TZn7I/"",""2004-2017!H2827"")"),3.88744801199999)</f>
        <v>3.8874480119999899</v>
      </c>
      <c r="E390" s="76">
        <f ca="1">IFERROR(__xludf.DUMMYFUNCTION("$C384*IMPORTRANGE(""https://docs.google.com/spreadsheets/d/1xsp01RMmkav9iTy39Zaj_7tE9677EGlOJ14KU9TZn7I/"",""2004-2017!T2827"")"),3.1998310785)</f>
        <v>3.1998310784999999</v>
      </c>
      <c r="F390" s="76">
        <f ca="1">IFERROR(__xludf.DUMMYFUNCTION("$C384*IMPORTRANGE(""https://docs.google.com/spreadsheets/d/1xsp01RMmkav9iTy39Zaj_7tE9677EGlOJ14KU9TZn7I/"",""2004-2017!AC2827"")"),550.383515969699)</f>
        <v>550.38351596969903</v>
      </c>
      <c r="G390" s="73" t="s">
        <v>8</v>
      </c>
      <c r="K390" s="2"/>
      <c r="L390" s="3"/>
      <c r="M390" s="122"/>
      <c r="N390" s="122"/>
      <c r="O390" s="122"/>
      <c r="P390" s="122"/>
      <c r="Q390" s="2"/>
    </row>
    <row r="391" spans="1:17" ht="13.2" x14ac:dyDescent="0.25">
      <c r="A391" s="87" t="s">
        <v>380</v>
      </c>
      <c r="B391" s="90">
        <v>80</v>
      </c>
      <c r="C391" s="63">
        <f>21313.3/1000</f>
        <v>21.313299999999998</v>
      </c>
      <c r="D391" s="72">
        <f ca="1">IFERROR(__xludf.DUMMYFUNCTION("$C385*IMPORTRANGE(""https://docs.google.com/spreadsheets/d/1xsp01RMmkav9iTy39Zaj_7tE9677EGlOJ14KU9TZn7I/"",""2004-2017!H2850"")"),15.5399532959999)</f>
        <v>15.539953295999901</v>
      </c>
      <c r="E391" s="72">
        <f ca="1">IFERROR(__xludf.DUMMYFUNCTION("$C385*IMPORTRANGE(""https://docs.google.com/spreadsheets/d/1xsp01RMmkav9iTy39Zaj_7tE9677EGlOJ14KU9TZn7I/"",""2004-2017!T2850"")"),12.64731222)</f>
        <v>12.64731222</v>
      </c>
      <c r="F391" s="72">
        <f ca="1">IFERROR(__xludf.DUMMYFUNCTION("$C385*IMPORTRANGE(""https://docs.google.com/spreadsheets/d/1xsp01RMmkav9iTy39Zaj_7tE9677EGlOJ14KU9TZn7I/"",""2004-2017!AC2850"")"),2170.62111117659)</f>
        <v>2170.6211111765901</v>
      </c>
      <c r="G391" s="61" t="s">
        <v>8</v>
      </c>
      <c r="K391" s="2"/>
      <c r="L391" s="3"/>
      <c r="M391" s="122"/>
      <c r="N391" s="122"/>
      <c r="O391" s="122"/>
      <c r="P391" s="122"/>
      <c r="Q391" s="2"/>
    </row>
    <row r="392" spans="1:17" ht="13.2" x14ac:dyDescent="0.25">
      <c r="A392" s="88" t="s">
        <v>381</v>
      </c>
      <c r="B392" s="91">
        <v>94</v>
      </c>
      <c r="C392" s="75">
        <f>8989.5/1000</f>
        <v>8.9894999999999996</v>
      </c>
      <c r="D392" s="76">
        <f ca="1">IFERROR(__xludf.DUMMYFUNCTION("$C386*IMPORTRANGE(""https://docs.google.com/spreadsheets/d/1xsp01RMmkav9iTy39Zaj_7tE9677EGlOJ14KU9TZn7I/"",""2004-2017!H2872"")"),6.60899050499999)</f>
        <v>6.6089905049999897</v>
      </c>
      <c r="E392" s="76">
        <f ca="1">IFERROR(__xludf.DUMMYFUNCTION("$C386*IMPORTRANGE(""https://docs.google.com/spreadsheets/d/1xsp01RMmkav9iTy39Zaj_7tE9677EGlOJ14KU9TZn7I/"",""2004-2017!T2872"")"),5.30047888499999)</f>
        <v>5.3004788849999898</v>
      </c>
      <c r="F392" s="76">
        <f ca="1">IFERROR(__xludf.DUMMYFUNCTION("$C386*IMPORTRANGE(""https://docs.google.com/spreadsheets/d/1xsp01RMmkav9iTy39Zaj_7tE9677EGlOJ14KU9TZn7I/"",""2004-2017!AC2872"")"),916.6323734685)</f>
        <v>916.63237346849996</v>
      </c>
      <c r="G392" s="73" t="s">
        <v>8</v>
      </c>
      <c r="K392" s="2"/>
      <c r="L392" s="3"/>
      <c r="M392" s="122"/>
      <c r="N392" s="122"/>
      <c r="O392" s="122"/>
      <c r="P392" s="122"/>
      <c r="Q392" s="2"/>
    </row>
    <row r="393" spans="1:17" ht="13.2" x14ac:dyDescent="0.25">
      <c r="A393" s="87" t="s">
        <v>382</v>
      </c>
      <c r="B393" s="90">
        <v>102</v>
      </c>
      <c r="C393" s="63">
        <f>2784.7/1000</f>
        <v>2.7847</v>
      </c>
      <c r="D393" s="72">
        <f ca="1">IFERROR(__xludf.DUMMYFUNCTION("$C387*IMPORTRANGE(""https://docs.google.com/spreadsheets/d/1xsp01RMmkav9iTy39Zaj_7tE9677EGlOJ14KU9TZn7I/"",""2004-2017!H2896"")"),2.051794807)</f>
        <v>2.0517948069999998</v>
      </c>
      <c r="E393" s="72">
        <f ca="1">IFERROR(__xludf.DUMMYFUNCTION("$C387*IMPORTRANGE(""https://docs.google.com/spreadsheets/d/1xsp01RMmkav9iTy39Zaj_7tE9677EGlOJ14KU9TZn7I/"",""2004-2017!T2896"")"),1.627545762)</f>
        <v>1.627545762</v>
      </c>
      <c r="F393" s="72">
        <f ca="1">IFERROR(__xludf.DUMMYFUNCTION("$C387*IMPORTRANGE(""https://docs.google.com/spreadsheets/d/1xsp01RMmkav9iTy39Zaj_7tE9677EGlOJ14KU9TZn7I/"",""2004-2017!AC2896"")"),282.7584407847)</f>
        <v>282.75844078469999</v>
      </c>
      <c r="G393" s="61" t="s">
        <v>8</v>
      </c>
      <c r="K393" s="2"/>
      <c r="L393" s="3"/>
      <c r="M393" s="122"/>
      <c r="N393" s="122"/>
      <c r="O393" s="122"/>
      <c r="P393" s="122"/>
      <c r="Q393" s="2"/>
    </row>
    <row r="394" spans="1:17" ht="13.2" x14ac:dyDescent="0.25">
      <c r="A394" s="88" t="s">
        <v>383</v>
      </c>
      <c r="B394" s="91">
        <v>92</v>
      </c>
      <c r="C394" s="75">
        <f>5895.1/1000</f>
        <v>5.8951000000000002</v>
      </c>
      <c r="D394" s="76">
        <f ca="1">IFERROR(__xludf.DUMMYFUNCTION("$C388*IMPORTRANGE(""https://docs.google.com/spreadsheets/d/1xsp01RMmkav9iTy39Zaj_7tE9677EGlOJ14KU9TZn7I/"",""2004-2017!H2918"")"),4.411185428)</f>
        <v>4.4111854279999996</v>
      </c>
      <c r="E394" s="76">
        <f ca="1">IFERROR(__xludf.DUMMYFUNCTION("$C388*IMPORTRANGE(""https://docs.google.com/spreadsheets/d/1xsp01RMmkav9iTy39Zaj_7tE9677EGlOJ14KU9TZn7I/"",""2004-2017!T2918"")"),3.525741408)</f>
        <v>3.525741408</v>
      </c>
      <c r="F394" s="76">
        <f ca="1">IFERROR(__xludf.DUMMYFUNCTION("$C388*IMPORTRANGE(""https://docs.google.com/spreadsheets/d/1xsp01RMmkav9iTy39Zaj_7tE9677EGlOJ14KU9TZn7I/"",""2004-2017!AC2918"")"),604.7723962147)</f>
        <v>604.77239621470005</v>
      </c>
      <c r="G394" s="73" t="s">
        <v>8</v>
      </c>
      <c r="K394" s="2"/>
      <c r="L394" s="3"/>
      <c r="M394" s="122"/>
      <c r="N394" s="122"/>
      <c r="O394" s="122"/>
      <c r="P394" s="122"/>
      <c r="Q394" s="2"/>
    </row>
    <row r="395" spans="1:17" ht="13.2" x14ac:dyDescent="0.25">
      <c r="A395" s="87" t="s">
        <v>384</v>
      </c>
      <c r="B395" s="90">
        <v>91</v>
      </c>
      <c r="C395" s="63">
        <f>4268.1/1000</f>
        <v>4.2681000000000004</v>
      </c>
      <c r="D395" s="72">
        <f ca="1">IFERROR(__xludf.DUMMYFUNCTION("$C389*IMPORTRANGE(""https://docs.google.com/spreadsheets/d/1xsp01RMmkav9iTy39Zaj_7tE9677EGlOJ14KU9TZn7I/"",""2004-2017!H2941"")"),3.3030185685)</f>
        <v>3.3030185685000002</v>
      </c>
      <c r="E395" s="72">
        <f ca="1">IFERROR(__xludf.DUMMYFUNCTION("$C389*IMPORTRANGE(""https://docs.google.com/spreadsheets/d/1xsp01RMmkav9iTy39Zaj_7tE9677EGlOJ14KU9TZn7I/"",""2004-2017!T2941"")"),2.621509701)</f>
        <v>2.6215097009999999</v>
      </c>
      <c r="F395" s="72">
        <f ca="1">IFERROR(__xludf.DUMMYFUNCTION("$C389*IMPORTRANGE(""https://docs.google.com/spreadsheets/d/1xsp01RMmkav9iTy39Zaj_7tE9677EGlOJ14KU9TZn7I/"",""2004-2017!AC2941"")"),457.3013106681)</f>
        <v>457.30131066809997</v>
      </c>
      <c r="G395" s="61" t="s">
        <v>8</v>
      </c>
      <c r="K395" s="2"/>
      <c r="L395" s="3"/>
      <c r="M395" s="122"/>
      <c r="N395" s="122"/>
      <c r="O395" s="122"/>
      <c r="P395" s="122"/>
      <c r="Q395" s="2"/>
    </row>
    <row r="396" spans="1:17" ht="13.2" x14ac:dyDescent="0.25">
      <c r="A396" s="88" t="s">
        <v>385</v>
      </c>
      <c r="B396" s="91">
        <v>91</v>
      </c>
      <c r="C396" s="75">
        <f>8802.1/1000</f>
        <v>8.8021000000000011</v>
      </c>
      <c r="D396" s="76">
        <f ca="1">IFERROR(__xludf.DUMMYFUNCTION("$C390*IMPORTRANGE(""https://docs.google.com/spreadsheets/d/1xsp01RMmkav9iTy39Zaj_7tE9677EGlOJ14KU9TZn7I/"",""2004-2017!H2965"")"),6.946881383)</f>
        <v>6.946881383</v>
      </c>
      <c r="E396" s="76">
        <f ca="1">IFERROR(__xludf.DUMMYFUNCTION("$C390*IMPORTRANGE(""https://docs.google.com/spreadsheets/d/1xsp01RMmkav9iTy39Zaj_7tE9677EGlOJ14KU9TZn7I/"",""2004-2017!T2965"")"),5.469536919)</f>
        <v>5.4695369190000003</v>
      </c>
      <c r="F396" s="76">
        <f ca="1">IFERROR(__xludf.DUMMYFUNCTION("$C390*IMPORTRANGE(""https://docs.google.com/spreadsheets/d/1xsp01RMmkav9iTy39Zaj_7tE9677EGlOJ14KU9TZn7I/"",""2004-2017!AC2965"")"),951.2605423979)</f>
        <v>951.26054239790005</v>
      </c>
      <c r="G396" s="73" t="s">
        <v>8</v>
      </c>
      <c r="K396" s="2"/>
      <c r="L396" s="3"/>
      <c r="M396" s="122"/>
      <c r="N396" s="122"/>
      <c r="O396" s="122"/>
      <c r="P396" s="122"/>
      <c r="Q396" s="2"/>
    </row>
    <row r="397" spans="1:17" ht="13.2" x14ac:dyDescent="0.25">
      <c r="A397" s="87" t="s">
        <v>386</v>
      </c>
      <c r="B397" s="90">
        <v>74</v>
      </c>
      <c r="C397" s="63">
        <f>9310.9/1000</f>
        <v>9.3109000000000002</v>
      </c>
      <c r="D397" s="72">
        <f ca="1">IFERROR(__xludf.DUMMYFUNCTION("$C391*IMPORTRANGE(""https://docs.google.com/spreadsheets/d/1xsp01RMmkav9iTy39Zaj_7tE9677EGlOJ14KU9TZn7I/"",""2004-2017!H2986"")"),7.461848369)</f>
        <v>7.4618483690000001</v>
      </c>
      <c r="E397" s="72">
        <f ca="1">IFERROR(__xludf.DUMMYFUNCTION("$C391*IMPORTRANGE(""https://docs.google.com/spreadsheets/d/1xsp01RMmkav9iTy39Zaj_7tE9677EGlOJ14KU9TZn7I/"",""2004-2017!T2986"")"),5.91288704499999)</f>
        <v>5.91288704499999</v>
      </c>
      <c r="F397" s="72">
        <f ca="1">IFERROR(__xludf.DUMMYFUNCTION("$C391*IMPORTRANGE(""https://docs.google.com/spreadsheets/d/1xsp01RMmkav9iTy39Zaj_7tE9677EGlOJ14KU9TZn7I/"",""2004-2017!AC2986"")"),1082.25246615545)</f>
        <v>1082.2524661554501</v>
      </c>
      <c r="G397" s="61" t="s">
        <v>8</v>
      </c>
      <c r="K397" s="2"/>
      <c r="L397" s="3"/>
      <c r="M397" s="122"/>
      <c r="N397" s="122"/>
      <c r="O397" s="122"/>
      <c r="P397" s="122"/>
      <c r="Q397" s="2"/>
    </row>
    <row r="398" spans="1:17" ht="13.2" x14ac:dyDescent="0.25">
      <c r="A398" s="89" t="s">
        <v>387</v>
      </c>
      <c r="B398" s="92">
        <v>123</v>
      </c>
      <c r="C398" s="79">
        <f>5320/1000</f>
        <v>5.32</v>
      </c>
      <c r="D398" s="80">
        <f ca="1">IFERROR(__xludf.DUMMYFUNCTION("$C392*IMPORTRANGE(""https://docs.google.com/spreadsheets/d/1xsp01RMmkav9iTy39Zaj_7tE9677EGlOJ14KU9TZn7I/"",""2004-2017!H3010"")"),4.3193612)</f>
        <v>4.3193612000000003</v>
      </c>
      <c r="E398" s="80">
        <f ca="1">IFERROR(__xludf.DUMMYFUNCTION("$C392*IMPORTRANGE(""https://docs.google.com/spreadsheets/d/1xsp01RMmkav9iTy39Zaj_7tE9677EGlOJ14KU9TZn7I/"",""2004-2017!T3010"")"),3.4003844)</f>
        <v>3.4003844000000001</v>
      </c>
      <c r="F398" s="80">
        <f ca="1">IFERROR(__xludf.DUMMYFUNCTION("$C392*IMPORTRANGE(""https://docs.google.com/spreadsheets/d/1xsp01RMmkav9iTy39Zaj_7tE9677EGlOJ14KU9TZn7I/"",""2004-2017!AC3010"")"),635.51656)</f>
        <v>635.51656000000003</v>
      </c>
      <c r="G398" s="77" t="s">
        <v>8</v>
      </c>
      <c r="K398" s="2"/>
      <c r="L398" s="3"/>
      <c r="M398" s="122"/>
      <c r="N398" s="122"/>
      <c r="O398" s="122"/>
      <c r="P398" s="122"/>
      <c r="Q398" s="2"/>
    </row>
    <row r="399" spans="1:17" ht="13.2" x14ac:dyDescent="0.25">
      <c r="A399" s="58">
        <v>2015</v>
      </c>
      <c r="B399" s="59"/>
      <c r="C399" s="93"/>
      <c r="D399" s="93"/>
      <c r="E399" s="93"/>
      <c r="F399" s="93"/>
      <c r="G399" s="58"/>
      <c r="K399" s="2"/>
      <c r="L399" s="3"/>
      <c r="M399" s="122"/>
      <c r="N399" s="122"/>
      <c r="O399" s="122"/>
      <c r="P399" s="122"/>
      <c r="Q399" s="2"/>
    </row>
    <row r="400" spans="1:17" ht="13.2" x14ac:dyDescent="0.25">
      <c r="A400" s="87" t="s">
        <v>388</v>
      </c>
      <c r="B400" s="90">
        <v>83</v>
      </c>
      <c r="C400" s="63">
        <f>70728.9/1000</f>
        <v>70.728899999999996</v>
      </c>
      <c r="D400" s="72">
        <f ca="1">IFERROR(__xludf.DUMMYFUNCTION("$C394*IMPORTRANGE(""https://docs.google.com/spreadsheets/d/1xsp01RMmkav9iTy39Zaj_7tE9677EGlOJ14KU9TZn7I/"",""2004-2017!H3034"")"),60.413797224)</f>
        <v>60.413797224</v>
      </c>
      <c r="E400" s="72">
        <f ca="1">IFERROR(__xludf.DUMMYFUNCTION("$C394*IMPORTRANGE(""https://docs.google.com/spreadsheets/d/1xsp01RMmkav9iTy39Zaj_7tE9677EGlOJ14KU9TZn7I/"",""2004-2017!T3034"")"),46.6976952915)</f>
        <v>46.697695291499997</v>
      </c>
      <c r="F400" s="72">
        <f ca="1">IFERROR(__xludf.DUMMYFUNCTION("$C394*IMPORTRANGE(""https://docs.google.com/spreadsheets/d/1xsp01RMmkav9iTy39Zaj_7tE9677EGlOJ14KU9TZn7I/"",""2004-2017!AC3034"")"),8366.3802646578)</f>
        <v>8366.3802646578006</v>
      </c>
      <c r="G400" s="61" t="s">
        <v>8</v>
      </c>
      <c r="K400" s="2"/>
      <c r="L400" s="3"/>
      <c r="M400" s="122"/>
      <c r="N400" s="122"/>
      <c r="O400" s="122"/>
      <c r="P400" s="122"/>
      <c r="Q400" s="2"/>
    </row>
    <row r="401" spans="1:17" ht="13.2" x14ac:dyDescent="0.25">
      <c r="A401" s="88" t="s">
        <v>389</v>
      </c>
      <c r="B401" s="91">
        <v>85</v>
      </c>
      <c r="C401" s="75">
        <f>7390.7/1000</f>
        <v>7.3906999999999998</v>
      </c>
      <c r="D401" s="76">
        <f ca="1">IFERROR(__xludf.DUMMYFUNCTION("$C395*IMPORTRANGE(""https://docs.google.com/spreadsheets/d/1xsp01RMmkav9iTy39Zaj_7tE9677EGlOJ14KU9TZn7I/"",""2004-2017!H3055"")"),6.5171562135)</f>
        <v>6.5171562134999999</v>
      </c>
      <c r="E401" s="76">
        <f ca="1">IFERROR(__xludf.DUMMYFUNCTION("$C395*IMPORTRANGE(""https://docs.google.com/spreadsheets/d/1xsp01RMmkav9iTy39Zaj_7tE9677EGlOJ14KU9TZn7I/"",""2004-2017!T3055"")"),4.81326728199999)</f>
        <v>4.8132672819999902</v>
      </c>
      <c r="F401" s="76">
        <f ca="1">IFERROR(__xludf.DUMMYFUNCTION("$C395*IMPORTRANGE(""https://docs.google.com/spreadsheets/d/1xsp01RMmkav9iTy39Zaj_7tE9677EGlOJ14KU9TZn7I/"",""2004-2017!AC3055"")"),878.43641881395)</f>
        <v>878.43641881395001</v>
      </c>
      <c r="G401" s="73" t="s">
        <v>8</v>
      </c>
      <c r="K401" s="2"/>
      <c r="L401" s="3"/>
      <c r="M401" s="122"/>
      <c r="N401" s="122"/>
      <c r="O401" s="122"/>
      <c r="P401" s="122"/>
      <c r="Q401" s="2"/>
    </row>
    <row r="402" spans="1:17" ht="13.2" x14ac:dyDescent="0.25">
      <c r="A402" s="87" t="s">
        <v>390</v>
      </c>
      <c r="B402" s="81">
        <v>83</v>
      </c>
      <c r="C402" s="63">
        <f>2617.3/1000</f>
        <v>2.6173000000000002</v>
      </c>
      <c r="D402" s="72">
        <f ca="1">IFERROR(__xludf.DUMMYFUNCTION("$C396*IMPORTRANGE(""https://docs.google.com/spreadsheets/d/1xsp01RMmkav9iTy39Zaj_7tE9677EGlOJ14KU9TZn7I/"",""2004-2017!H3078"")"),2.412705659)</f>
        <v>2.4127056589999998</v>
      </c>
      <c r="E402" s="72">
        <f ca="1">IFERROR(__xludf.DUMMYFUNCTION("$C396*IMPORTRANGE(""https://docs.google.com/spreadsheets/d/1xsp01RMmkav9iTy39Zaj_7tE9677EGlOJ14KU9TZn7I/"",""2004-2017!T3078"")"),1.752099139)</f>
        <v>1.752099139</v>
      </c>
      <c r="F402" s="72">
        <f ca="1">IFERROR(__xludf.DUMMYFUNCTION("$C396*IMPORTRANGE(""https://docs.google.com/spreadsheets/d/1xsp01RMmkav9iTy39Zaj_7tE9677EGlOJ14KU9TZn7I/"",""2004-2017!AC3078"")"),314.21864415865)</f>
        <v>314.21864415865002</v>
      </c>
      <c r="G402" s="61" t="s">
        <v>8</v>
      </c>
      <c r="K402" s="2"/>
      <c r="L402" s="3"/>
      <c r="M402" s="122"/>
      <c r="N402" s="122"/>
      <c r="O402" s="122"/>
      <c r="P402" s="122"/>
      <c r="Q402" s="2"/>
    </row>
    <row r="403" spans="1:17" ht="13.2" x14ac:dyDescent="0.25">
      <c r="A403" s="88" t="s">
        <v>391</v>
      </c>
      <c r="B403" s="91">
        <v>93</v>
      </c>
      <c r="C403" s="75">
        <f>5336.6/1000</f>
        <v>5.3366000000000007</v>
      </c>
      <c r="D403" s="76">
        <f ca="1">IFERROR(__xludf.DUMMYFUNCTION("$C397*IMPORTRANGE(""https://docs.google.com/spreadsheets/d/1xsp01RMmkav9iTy39Zaj_7tE9677EGlOJ14KU9TZn7I/"",""2004-2017!H3101"")"),4.95156431)</f>
        <v>4.9515643100000002</v>
      </c>
      <c r="E403" s="76">
        <f ca="1">IFERROR(__xludf.DUMMYFUNCTION("$C397*IMPORTRANGE(""https://docs.google.com/spreadsheets/d/1xsp01RMmkav9iTy39Zaj_7tE9677EGlOJ14KU9TZn7I/"",""2004-2017!T3101"")"),3.581552358)</f>
        <v>3.5815523580000002</v>
      </c>
      <c r="F403" s="76">
        <f ca="1">IFERROR(__xludf.DUMMYFUNCTION("$C397*IMPORTRANGE(""https://docs.google.com/spreadsheets/d/1xsp01RMmkav9iTy39Zaj_7tE9677EGlOJ14KU9TZn7I/"",""2004-2017!AC3101"")"),637.8517677268)</f>
        <v>637.85176772679995</v>
      </c>
      <c r="G403" s="73" t="s">
        <v>8</v>
      </c>
      <c r="K403" s="2"/>
      <c r="L403" s="3"/>
      <c r="M403" s="122"/>
      <c r="N403" s="122"/>
      <c r="O403" s="122"/>
      <c r="P403" s="122"/>
      <c r="Q403" s="2"/>
    </row>
    <row r="404" spans="1:17" ht="13.2" x14ac:dyDescent="0.25">
      <c r="A404" s="87" t="s">
        <v>392</v>
      </c>
      <c r="B404" s="90">
        <v>66</v>
      </c>
      <c r="C404" s="63">
        <f>47656.7/1000</f>
        <v>47.656699999999994</v>
      </c>
      <c r="D404" s="72">
        <f ca="1">IFERROR(__xludf.DUMMYFUNCTION("$C398*IMPORTRANGE(""https://docs.google.com/spreadsheets/d/1xsp01RMmkav9iTy39Zaj_7tE9677EGlOJ14KU9TZn7I/"",""2004-2017!H3123"")"),42.6041366659999)</f>
        <v>42.604136665999903</v>
      </c>
      <c r="E404" s="72">
        <f ca="1">IFERROR(__xludf.DUMMYFUNCTION("$C398*IMPORTRANGE(""https://docs.google.com/spreadsheets/d/1xsp01RMmkav9iTy39Zaj_7tE9677EGlOJ14KU9TZn7I/"",""2004-2017!T3123"")"),30.8014783439999)</f>
        <v>30.8014783439999</v>
      </c>
      <c r="F404" s="72">
        <f ca="1">IFERROR(__xludf.DUMMYFUNCTION("$C398*IMPORTRANGE(""https://docs.google.com/spreadsheets/d/1xsp01RMmkav9iTy39Zaj_7tE9677EGlOJ14KU9TZn7I/"",""2004-2017!AC3123"")"),5723.56957468659)</f>
        <v>5723.5695746865904</v>
      </c>
      <c r="G404" s="61" t="s">
        <v>8</v>
      </c>
      <c r="K404" s="2"/>
      <c r="L404" s="3"/>
      <c r="M404" s="122"/>
      <c r="N404" s="122"/>
      <c r="O404" s="122"/>
      <c r="P404" s="122"/>
      <c r="Q404" s="2"/>
    </row>
    <row r="405" spans="1:17" ht="13.2" x14ac:dyDescent="0.25">
      <c r="A405" s="88" t="s">
        <v>393</v>
      </c>
      <c r="B405" s="91">
        <v>114</v>
      </c>
      <c r="C405" s="75">
        <f>5658.8/1000</f>
        <v>5.6588000000000003</v>
      </c>
      <c r="D405" s="76">
        <f ca="1">IFERROR(__xludf.DUMMYFUNCTION("$C399*IMPORTRANGE(""https://docs.google.com/spreadsheets/d/1xsp01RMmkav9iTy39Zaj_7tE9677EGlOJ14KU9TZn7I/"",""2004-2017!H3146"")"),5.038199404)</f>
        <v>5.0381994040000002</v>
      </c>
      <c r="E405" s="76">
        <f ca="1">IFERROR(__xludf.DUMMYFUNCTION("$C399*IMPORTRANGE(""https://docs.google.com/spreadsheets/d/1xsp01RMmkav9iTy39Zaj_7tE9677EGlOJ14KU9TZn7I/"",""2004-2017!T3146"")"),3.63238372)</f>
        <v>3.63238372</v>
      </c>
      <c r="F405" s="76">
        <f ca="1">IFERROR(__xludf.DUMMYFUNCTION("$C399*IMPORTRANGE(""https://docs.google.com/spreadsheets/d/1xsp01RMmkav9iTy39Zaj_7tE9677EGlOJ14KU9TZn7I/"",""2004-2017!AC3146"")"),699.3682654294)</f>
        <v>699.36826542940003</v>
      </c>
      <c r="G405" s="73" t="s">
        <v>8</v>
      </c>
      <c r="K405" s="2"/>
      <c r="L405" s="3"/>
      <c r="M405" s="122"/>
      <c r="N405" s="122"/>
      <c r="O405" s="122"/>
      <c r="P405" s="122"/>
      <c r="Q405" s="2"/>
    </row>
    <row r="406" spans="1:17" ht="13.2" x14ac:dyDescent="0.25">
      <c r="A406" s="87" t="s">
        <v>394</v>
      </c>
      <c r="B406" s="90">
        <v>111</v>
      </c>
      <c r="C406" s="63">
        <f>3462.4/1000</f>
        <v>3.4624000000000001</v>
      </c>
      <c r="D406" s="72">
        <f ca="1">IFERROR(__xludf.DUMMYFUNCTION("$C400*IMPORTRANGE(""https://docs.google.com/spreadsheets/d/1xsp01RMmkav9iTy39Zaj_7tE9677EGlOJ14KU9TZn7I/"",""2004-2017!H3170"")"),3.1490528)</f>
        <v>3.1490528000000002</v>
      </c>
      <c r="E406" s="72">
        <f ca="1">IFERROR(__xludf.DUMMYFUNCTION("$C400*IMPORTRANGE(""https://docs.google.com/spreadsheets/d/1xsp01RMmkav9iTy39Zaj_7tE9677EGlOJ14KU9TZn7I/"",""2004-2017!T3170"")"),2.219433024)</f>
        <v>2.2194330240000002</v>
      </c>
      <c r="F406" s="72">
        <f ca="1">IFERROR(__xludf.DUMMYFUNCTION("$C400*IMPORTRANGE(""https://docs.google.com/spreadsheets/d/1xsp01RMmkav9iTy39Zaj_7tE9677EGlOJ14KU9TZn7I/"",""2004-2017!AC3170"")"),427.848768)</f>
        <v>427.84876800000001</v>
      </c>
      <c r="G406" s="61" t="s">
        <v>8</v>
      </c>
      <c r="K406" s="2"/>
      <c r="L406" s="3"/>
      <c r="M406" s="122"/>
      <c r="N406" s="122"/>
      <c r="O406" s="122"/>
      <c r="P406" s="122"/>
      <c r="Q406" s="2"/>
    </row>
    <row r="407" spans="1:17" ht="13.2" x14ac:dyDescent="0.25">
      <c r="A407" s="88" t="s">
        <v>395</v>
      </c>
      <c r="B407" s="91">
        <v>86</v>
      </c>
      <c r="C407" s="75">
        <f>5953.9/1000</f>
        <v>5.9539</v>
      </c>
      <c r="D407" s="76">
        <f ca="1">IFERROR(__xludf.DUMMYFUNCTION("$C401*IMPORTRANGE(""https://docs.google.com/spreadsheets/d/1xsp01RMmkav9iTy39Zaj_7tE9677EGlOJ14KU9TZn7I/"",""2004-2017!H3192"")"),5.367262233)</f>
        <v>5.3672622329999999</v>
      </c>
      <c r="E407" s="76">
        <f ca="1">IFERROR(__xludf.DUMMYFUNCTION("$C401*IMPORTRANGE(""https://docs.google.com/spreadsheets/d/1xsp01RMmkav9iTy39Zaj_7tE9677EGlOJ14KU9TZn7I/"",""2004-2017!T3192"")"),3.815140042)</f>
        <v>3.8151400419999999</v>
      </c>
      <c r="F407" s="76">
        <f ca="1">IFERROR(__xludf.DUMMYFUNCTION("$C401*IMPORTRANGE(""https://docs.google.com/spreadsheets/d/1xsp01RMmkav9iTy39Zaj_7tE9677EGlOJ14KU9TZn7I/"",""2004-2017!AC3192"")"),739.8018266383)</f>
        <v>739.80182663829999</v>
      </c>
      <c r="G407" s="73" t="s">
        <v>8</v>
      </c>
      <c r="K407" s="2"/>
      <c r="L407" s="3"/>
      <c r="M407" s="122"/>
      <c r="N407" s="122"/>
      <c r="O407" s="122"/>
      <c r="P407" s="122"/>
      <c r="Q407" s="2"/>
    </row>
    <row r="408" spans="1:17" ht="13.2" x14ac:dyDescent="0.25">
      <c r="A408" s="87" t="s">
        <v>396</v>
      </c>
      <c r="B408" s="90">
        <v>75</v>
      </c>
      <c r="C408" s="63">
        <f>1183/1000</f>
        <v>1.1830000000000001</v>
      </c>
      <c r="D408" s="72">
        <f ca="1">IFERROR(__xludf.DUMMYFUNCTION("$C402*IMPORTRANGE(""https://docs.google.com/spreadsheets/d/1xsp01RMmkav9iTy39Zaj_7tE9677EGlOJ14KU9TZn7I/"",""2004-2017!H3215"")"),1.054058915)</f>
        <v>1.0540589149999999</v>
      </c>
      <c r="E408" s="72">
        <f ca="1">IFERROR(__xludf.DUMMYFUNCTION("$C402*IMPORTRANGE(""https://docs.google.com/spreadsheets/d/1xsp01RMmkav9iTy39Zaj_7tE9677EGlOJ14KU9TZn7I/"",""2004-2017!T3215"")"),0.77071267)</f>
        <v>0.77071266999999999</v>
      </c>
      <c r="F408" s="72">
        <f ca="1">IFERROR(__xludf.DUMMYFUNCTION("$C402*IMPORTRANGE(""https://docs.google.com/spreadsheets/d/1xsp01RMmkav9iTy39Zaj_7tE9677EGlOJ14KU9TZn7I/"",""2004-2017!AC3215"")"),142.2202570425)</f>
        <v>142.22025704250001</v>
      </c>
      <c r="G408" s="61" t="s">
        <v>8</v>
      </c>
      <c r="K408" s="2"/>
      <c r="L408" s="3"/>
      <c r="M408" s="122"/>
      <c r="N408" s="122"/>
      <c r="O408" s="122"/>
      <c r="P408" s="122"/>
      <c r="Q408" s="2"/>
    </row>
    <row r="409" spans="1:17" ht="13.2" x14ac:dyDescent="0.25">
      <c r="A409" s="88" t="s">
        <v>397</v>
      </c>
      <c r="B409" s="91">
        <v>85</v>
      </c>
      <c r="C409" s="75">
        <f>7059/1000</f>
        <v>7.0590000000000002</v>
      </c>
      <c r="D409" s="76">
        <f ca="1">IFERROR(__xludf.DUMMYFUNCTION("$C403*IMPORTRANGE(""https://docs.google.com/spreadsheets/d/1xsp01RMmkav9iTy39Zaj_7tE9677EGlOJ14KU9TZn7I/"",""2004-2017!H3238"")"),6.272450925)</f>
        <v>6.2724509250000002</v>
      </c>
      <c r="E409" s="76">
        <f ca="1">IFERROR(__xludf.DUMMYFUNCTION("$C403*IMPORTRANGE(""https://docs.google.com/spreadsheets/d/1xsp01RMmkav9iTy39Zaj_7tE9677EGlOJ14KU9TZn7I/"",""2004-2017!T3238"")"),4.606668105)</f>
        <v>4.6066681049999998</v>
      </c>
      <c r="F409" s="76">
        <f ca="1">IFERROR(__xludf.DUMMYFUNCTION("$C403*IMPORTRANGE(""https://docs.google.com/spreadsheets/d/1xsp01RMmkav9iTy39Zaj_7tE9677EGlOJ14KU9TZn7I/"",""2004-2017!AC3238"")"),846.811772118)</f>
        <v>846.81177211800002</v>
      </c>
      <c r="G409" s="73" t="s">
        <v>8</v>
      </c>
      <c r="K409" s="2"/>
      <c r="L409" s="3"/>
      <c r="M409" s="122"/>
      <c r="N409" s="122"/>
      <c r="O409" s="122"/>
      <c r="P409" s="122"/>
      <c r="Q409" s="2"/>
    </row>
    <row r="410" spans="1:17" ht="13.2" x14ac:dyDescent="0.25">
      <c r="A410" s="87" t="s">
        <v>398</v>
      </c>
      <c r="B410" s="90">
        <v>91</v>
      </c>
      <c r="C410" s="63">
        <f>6964.4/1000</f>
        <v>6.9643999999999995</v>
      </c>
      <c r="D410" s="72">
        <f ca="1">IFERROR(__xludf.DUMMYFUNCTION("$C404*IMPORTRANGE(""https://docs.google.com/spreadsheets/d/1xsp01RMmkav9iTy39Zaj_7tE9677EGlOJ14KU9TZn7I/"",""2004-2017!H3260"")"),6.49291011999999)</f>
        <v>6.4929101199999897</v>
      </c>
      <c r="E410" s="72">
        <f ca="1">IFERROR(__xludf.DUMMYFUNCTION("$C404*IMPORTRANGE(""https://docs.google.com/spreadsheets/d/1xsp01RMmkav9iTy39Zaj_7tE9677EGlOJ14KU9TZn7I/"",""2004-2017!T3260"")"),4.578814424)</f>
        <v>4.5788144239999999</v>
      </c>
      <c r="F410" s="72">
        <f ca="1">IFERROR(__xludf.DUMMYFUNCTION("$C404*IMPORTRANGE(""https://docs.google.com/spreadsheets/d/1xsp01RMmkav9iTy39Zaj_7tE9677EGlOJ14KU9TZn7I/"",""2004-2017!AC3260"")"),854.928878657599)</f>
        <v>854.92887865759894</v>
      </c>
      <c r="G410" s="61" t="s">
        <v>8</v>
      </c>
      <c r="K410" s="2"/>
      <c r="L410" s="3"/>
      <c r="M410" s="122"/>
      <c r="N410" s="122"/>
      <c r="O410" s="122"/>
      <c r="P410" s="122"/>
      <c r="Q410" s="2"/>
    </row>
    <row r="411" spans="1:17" ht="13.2" x14ac:dyDescent="0.25">
      <c r="A411" s="89" t="s">
        <v>399</v>
      </c>
      <c r="B411" s="92">
        <v>87</v>
      </c>
      <c r="C411" s="79">
        <f>2600/1000</f>
        <v>2.6</v>
      </c>
      <c r="D411" s="80">
        <f ca="1">IFERROR(__xludf.DUMMYFUNCTION("$C405*IMPORTRANGE(""https://docs.google.com/spreadsheets/d/1xsp01RMmkav9iTy39Zaj_7tE9677EGlOJ14KU9TZn7I/"",""2004-2017!H3284"")"),2.381834)</f>
        <v>2.381834</v>
      </c>
      <c r="E411" s="80">
        <f ca="1">IFERROR(__xludf.DUMMYFUNCTION("$C405*IMPORTRANGE(""https://docs.google.com/spreadsheets/d/1xsp01RMmkav9iTy39Zaj_7tE9677EGlOJ14KU9TZn7I/"",""2004-2017!T3284"")"),1.73589)</f>
        <v>1.7358899999999999</v>
      </c>
      <c r="F411" s="80">
        <f ca="1">IFERROR(__xludf.DUMMYFUNCTION("$C405*IMPORTRANGE(""https://docs.google.com/spreadsheets/d/1xsp01RMmkav9iTy39Zaj_7tE9677EGlOJ14KU9TZn7I/"",""2004-2017!AC3284"")"),316.3550078)</f>
        <v>316.35500780000001</v>
      </c>
      <c r="G411" s="77" t="s">
        <v>8</v>
      </c>
      <c r="K411" s="2"/>
      <c r="L411" s="3"/>
      <c r="M411" s="122"/>
      <c r="N411" s="122"/>
      <c r="O411" s="122"/>
      <c r="P411" s="122"/>
      <c r="Q411" s="2"/>
    </row>
    <row r="412" spans="1:17" ht="13.2" x14ac:dyDescent="0.25">
      <c r="A412" s="58">
        <v>2016</v>
      </c>
      <c r="B412" s="59"/>
      <c r="C412" s="93"/>
      <c r="D412" s="93"/>
      <c r="E412" s="93"/>
      <c r="F412" s="93"/>
      <c r="G412" s="58"/>
      <c r="K412" s="2"/>
      <c r="L412" s="3"/>
      <c r="M412" s="122"/>
      <c r="N412" s="122"/>
      <c r="O412" s="122"/>
      <c r="P412" s="122"/>
      <c r="Q412" s="2"/>
    </row>
    <row r="413" spans="1:17" ht="13.2" x14ac:dyDescent="0.25">
      <c r="A413" s="87" t="s">
        <v>400</v>
      </c>
      <c r="B413" s="90">
        <v>87</v>
      </c>
      <c r="C413" s="63">
        <f>2600/1000</f>
        <v>2.6</v>
      </c>
      <c r="D413" s="72">
        <f ca="1">IFERROR(__xludf.DUMMYFUNCTION("$C407*IMPORTRANGE(""https://docs.google.com/spreadsheets/d/1xsp01RMmkav9iTy39Zaj_7tE9677EGlOJ14KU9TZn7I/"",""2004-2017!H3307"")"),2.393664)</f>
        <v>2.3936639999999998</v>
      </c>
      <c r="E413" s="72">
        <f ca="1">IFERROR(__xludf.DUMMYFUNCTION("$C407*IMPORTRANGE(""https://docs.google.com/spreadsheets/d/1xsp01RMmkav9iTy39Zaj_7tE9677EGlOJ14KU9TZn7I/"",""2004-2017!T3307"")"),1.804556)</f>
        <v>1.804556</v>
      </c>
      <c r="F413" s="72">
        <f ca="1">IFERROR(__xludf.DUMMYFUNCTION("$C407*IMPORTRANGE(""https://docs.google.com/spreadsheets/d/1xsp01RMmkav9iTy39Zaj_7tE9677EGlOJ14KU9TZn7I/"",""2004-2017!AC3307"")"),307.3278078)</f>
        <v>307.32780780000002</v>
      </c>
      <c r="G413" s="61" t="s">
        <v>8</v>
      </c>
      <c r="K413" s="2"/>
      <c r="L413" s="3"/>
      <c r="M413" s="122"/>
      <c r="N413" s="122"/>
      <c r="O413" s="122"/>
      <c r="P413" s="122"/>
      <c r="Q413" s="2"/>
    </row>
    <row r="414" spans="1:17" ht="13.2" x14ac:dyDescent="0.25">
      <c r="A414" s="88" t="s">
        <v>401</v>
      </c>
      <c r="B414" s="91">
        <v>89</v>
      </c>
      <c r="C414" s="75">
        <f>54772.1/1000</f>
        <v>54.772100000000002</v>
      </c>
      <c r="D414" s="76">
        <f ca="1">IFERROR(__xludf.DUMMYFUNCTION("$C408*IMPORTRANGE(""https://docs.google.com/spreadsheets/d/1xsp01RMmkav9iTy39Zaj_7tE9677EGlOJ14KU9TZn7I/"",""2004-2017!H3329"")"),49.242308784)</f>
        <v>49.242308784000002</v>
      </c>
      <c r="E414" s="76">
        <f ca="1">IFERROR(__xludf.DUMMYFUNCTION("$C408*IMPORTRANGE(""https://docs.google.com/spreadsheets/d/1xsp01RMmkav9iTy39Zaj_7tE9677EGlOJ14KU9TZn7I/"",""2004-2017!T3329"")"),38.0118374)</f>
        <v>38.011837399999997</v>
      </c>
      <c r="F414" s="76">
        <f ca="1">IFERROR(__xludf.DUMMYFUNCTION("$C408*IMPORTRANGE(""https://docs.google.com/spreadsheets/d/1xsp01RMmkav9iTy39Zaj_7tE9677EGlOJ14KU9TZn7I/"",""2004-2017!AC3329"")"),6248.4012775442)</f>
        <v>6248.4012775441997</v>
      </c>
      <c r="G414" s="73" t="s">
        <v>8</v>
      </c>
      <c r="K414" s="2"/>
      <c r="L414" s="3"/>
      <c r="M414" s="122"/>
      <c r="N414" s="122"/>
      <c r="O414" s="122"/>
      <c r="P414" s="122"/>
      <c r="Q414" s="2"/>
    </row>
    <row r="415" spans="1:17" ht="13.2" x14ac:dyDescent="0.25">
      <c r="A415" s="87" t="s">
        <v>402</v>
      </c>
      <c r="B415" s="90">
        <v>76</v>
      </c>
      <c r="C415" s="63">
        <f>7750/1000</f>
        <v>7.75</v>
      </c>
      <c r="D415" s="72">
        <f ca="1">IFERROR(__xludf.DUMMYFUNCTION("$C409*IMPORTRANGE(""https://docs.google.com/spreadsheets/d/1xsp01RMmkav9iTy39Zaj_7tE9677EGlOJ14KU9TZn7I/"",""2004-2017!H3353"")"),6.939505)</f>
        <v>6.9395049999999996</v>
      </c>
      <c r="E415" s="72">
        <f ca="1">IFERROR(__xludf.DUMMYFUNCTION("$C409*IMPORTRANGE(""https://docs.google.com/spreadsheets/d/1xsp01RMmkav9iTy39Zaj_7tE9677EGlOJ14KU9TZn7I/"",""2004-2017!T3353"")"),5.4481725)</f>
        <v>5.4481725000000001</v>
      </c>
      <c r="F415" s="72">
        <f ca="1">IFERROR(__xludf.DUMMYFUNCTION("$C409*IMPORTRANGE(""https://docs.google.com/spreadsheets/d/1xsp01RMmkav9iTy39Zaj_7tE9677EGlOJ14KU9TZn7I/"",""2004-2017!AC3353"")"),874.66500775)</f>
        <v>874.66500774999997</v>
      </c>
      <c r="G415" s="61" t="s">
        <v>8</v>
      </c>
      <c r="K415" s="2"/>
      <c r="L415" s="3"/>
      <c r="M415" s="122"/>
      <c r="N415" s="122"/>
      <c r="O415" s="122"/>
      <c r="P415" s="122"/>
      <c r="Q415" s="2"/>
    </row>
    <row r="416" spans="1:17" ht="13.2" x14ac:dyDescent="0.25">
      <c r="A416" s="88" t="s">
        <v>403</v>
      </c>
      <c r="B416" s="91">
        <v>97</v>
      </c>
      <c r="C416" s="75">
        <f>2177.9/1000</f>
        <v>2.1779000000000002</v>
      </c>
      <c r="D416" s="76">
        <f ca="1">IFERROR(__xludf.DUMMYFUNCTION("$C410*IMPORTRANGE(""https://docs.google.com/spreadsheets/d/1xsp01RMmkav9iTy39Zaj_7tE9677EGlOJ14KU9TZn7I/"",""2004-2017!H3375"")"),1.91785874)</f>
        <v>1.91785874</v>
      </c>
      <c r="E416" s="76">
        <f ca="1">IFERROR(__xludf.DUMMYFUNCTION("$C410*IMPORTRANGE(""https://docs.google.com/spreadsheets/d/1xsp01RMmkav9iTy39Zaj_7tE9677EGlOJ14KU9TZn7I/"",""2004-2017!T3375"")"),1.526315878)</f>
        <v>1.5263158779999999</v>
      </c>
      <c r="F416" s="76">
        <f ca="1">IFERROR(__xludf.DUMMYFUNCTION("$C410*IMPORTRANGE(""https://docs.google.com/spreadsheets/d/1xsp01RMmkav9iTy39Zaj_7tE9677EGlOJ14KU9TZn7I/"",""2004-2017!AC3375"")"),238.3428335884)</f>
        <v>238.3428335884</v>
      </c>
      <c r="G416" s="73" t="s">
        <v>8</v>
      </c>
      <c r="K416" s="2"/>
      <c r="L416" s="3"/>
      <c r="M416" s="122"/>
      <c r="N416" s="122"/>
      <c r="O416" s="122"/>
      <c r="P416" s="122"/>
      <c r="Q416" s="2"/>
    </row>
    <row r="417" spans="1:17" ht="13.2" x14ac:dyDescent="0.25">
      <c r="A417" s="87" t="s">
        <v>404</v>
      </c>
      <c r="B417" s="90">
        <v>74</v>
      </c>
      <c r="C417" s="63">
        <f>71111.7/1000</f>
        <v>71.111699999999999</v>
      </c>
      <c r="D417" s="72">
        <f ca="1">IFERROR(__xludf.DUMMYFUNCTION("$C411*IMPORTRANGE(""https://docs.google.com/spreadsheets/d/1xsp01RMmkav9iTy39Zaj_7tE9677EGlOJ14KU9TZn7I/"",""2004-2017!H3398"")"),62.8389203805)</f>
        <v>62.838920380499999</v>
      </c>
      <c r="E417" s="72">
        <f ca="1">IFERROR(__xludf.DUMMYFUNCTION("$C411*IMPORTRANGE(""https://docs.google.com/spreadsheets/d/1xsp01RMmkav9iTy39Zaj_7tE9677EGlOJ14KU9TZn7I/"",""2004-2017!T3398"")"),49.0428950219999)</f>
        <v>49.042895021999897</v>
      </c>
      <c r="F417" s="72">
        <f ca="1">IFERROR(__xludf.DUMMYFUNCTION("$C411*IMPORTRANGE(""https://docs.google.com/spreadsheets/d/1xsp01RMmkav9iTy39Zaj_7tE9677EGlOJ14KU9TZn7I/"",""2004-2017!AC3398"")"),7757.575353)</f>
        <v>7757.5753530000002</v>
      </c>
      <c r="G417" s="61" t="s">
        <v>8</v>
      </c>
      <c r="K417" s="2"/>
      <c r="L417" s="3"/>
      <c r="M417" s="122"/>
      <c r="N417" s="122"/>
      <c r="O417" s="122"/>
      <c r="P417" s="122"/>
      <c r="Q417" s="2"/>
    </row>
    <row r="418" spans="1:17" ht="13.2" x14ac:dyDescent="0.25">
      <c r="A418" s="88" t="s">
        <v>405</v>
      </c>
      <c r="B418" s="91">
        <v>97</v>
      </c>
      <c r="C418" s="75">
        <f>3159.1/1000</f>
        <v>3.1591</v>
      </c>
      <c r="D418" s="76">
        <f ca="1">IFERROR(__xludf.DUMMYFUNCTION("$C412*IMPORTRANGE(""https://docs.google.com/spreadsheets/d/1xsp01RMmkav9iTy39Zaj_7tE9677EGlOJ14KU9TZn7I/"",""2004-2017!H3421"")"),2.80626012099999)</f>
        <v>2.80626012099999</v>
      </c>
      <c r="E418" s="76">
        <f ca="1">IFERROR(__xludf.DUMMYFUNCTION("$C412*IMPORTRANGE(""https://docs.google.com/spreadsheets/d/1xsp01RMmkav9iTy39Zaj_7tE9677EGlOJ14KU9TZn7I/"",""2004-2017!T3421"")"),2.1919257395)</f>
        <v>2.1919257394999998</v>
      </c>
      <c r="F418" s="76">
        <f ca="1">IFERROR(__xludf.DUMMYFUNCTION("$C412*IMPORTRANGE(""https://docs.google.com/spreadsheets/d/1xsp01RMmkav9iTy39Zaj_7tE9677EGlOJ14KU9TZn7I/"",""2004-2017!AC3421"")"),334.7650820318)</f>
        <v>334.76508203179998</v>
      </c>
      <c r="G418" s="73" t="s">
        <v>8</v>
      </c>
      <c r="K418" s="2"/>
      <c r="L418" s="3"/>
      <c r="M418" s="122"/>
      <c r="N418" s="122"/>
      <c r="O418" s="122"/>
      <c r="P418" s="122"/>
      <c r="Q418" s="2"/>
    </row>
    <row r="419" spans="1:17" ht="13.2" x14ac:dyDescent="0.25">
      <c r="A419" s="87" t="s">
        <v>406</v>
      </c>
      <c r="B419" s="90">
        <v>97</v>
      </c>
      <c r="C419" s="63">
        <f>15179.3/1000</f>
        <v>15.1793</v>
      </c>
      <c r="D419" s="72">
        <f ca="1">IFERROR(__xludf.DUMMYFUNCTION("$C413*IMPORTRANGE(""https://docs.google.com/spreadsheets/d/1xsp01RMmkav9iTy39Zaj_7tE9677EGlOJ14KU9TZn7I/"",""2004-2017!H3443"")"),13.718292375)</f>
        <v>13.718292375000001</v>
      </c>
      <c r="E419" s="72">
        <f ca="1">IFERROR(__xludf.DUMMYFUNCTION("$C413*IMPORTRANGE(""https://docs.google.com/spreadsheets/d/1xsp01RMmkav9iTy39Zaj_7tE9677EGlOJ14KU9TZn7I/"",""2004-2017!T3443"")"),11.532776761)</f>
        <v>11.532776760999999</v>
      </c>
      <c r="F419" s="72">
        <f ca="1">IFERROR(__xludf.DUMMYFUNCTION("$C413*IMPORTRANGE(""https://docs.google.com/spreadsheets/d/1xsp01RMmkav9iTy39Zaj_7tE9677EGlOJ14KU9TZn7I/"",""2004-2017!AC3443"")"),1590.12270526209)</f>
        <v>1590.12270526209</v>
      </c>
      <c r="G419" s="61" t="s">
        <v>8</v>
      </c>
      <c r="K419" s="2"/>
      <c r="L419" s="3"/>
      <c r="M419" s="122"/>
      <c r="N419" s="122"/>
      <c r="O419" s="122"/>
      <c r="P419" s="122"/>
      <c r="Q419" s="2"/>
    </row>
    <row r="420" spans="1:17" ht="13.2" x14ac:dyDescent="0.25">
      <c r="A420" s="88" t="s">
        <v>407</v>
      </c>
      <c r="B420" s="91">
        <v>77</v>
      </c>
      <c r="C420" s="75">
        <f>11378.6/1000</f>
        <v>11.3786</v>
      </c>
      <c r="D420" s="76">
        <f ca="1">IFERROR(__xludf.DUMMYFUNCTION("$C414*IMPORTRANGE(""https://docs.google.com/spreadsheets/d/1xsp01RMmkav9iTy39Zaj_7tE9677EGlOJ14KU9TZn7I/"",""2004-2017!H3467"")"),10.171785684)</f>
        <v>10.171785684</v>
      </c>
      <c r="E420" s="76">
        <f ca="1">IFERROR(__xludf.DUMMYFUNCTION("$C414*IMPORTRANGE(""https://docs.google.com/spreadsheets/d/1xsp01RMmkav9iTy39Zaj_7tE9677EGlOJ14KU9TZn7I/"",""2004-2017!T3467"")"),8.68073394)</f>
        <v>8.6807339399999996</v>
      </c>
      <c r="F420" s="76">
        <f ca="1">IFERROR(__xludf.DUMMYFUNCTION("$C414*IMPORTRANGE(""https://docs.google.com/spreadsheets/d/1xsp01RMmkav9iTy39Zaj_7tE9677EGlOJ14KU9TZn7I/"",""2004-2017!AC3467"")"),1151.9694412428)</f>
        <v>1151.9694412428</v>
      </c>
      <c r="G420" s="73" t="s">
        <v>8</v>
      </c>
      <c r="K420" s="2"/>
      <c r="L420" s="3"/>
      <c r="M420" s="122"/>
      <c r="N420" s="122"/>
      <c r="O420" s="122"/>
      <c r="P420" s="122"/>
      <c r="Q420" s="2"/>
    </row>
    <row r="421" spans="1:17" ht="13.2" x14ac:dyDescent="0.25">
      <c r="A421" s="87" t="s">
        <v>408</v>
      </c>
      <c r="B421" s="90">
        <v>97</v>
      </c>
      <c r="C421" s="63">
        <f>5079.5/1000</f>
        <v>5.0795000000000003</v>
      </c>
      <c r="D421" s="72">
        <f ca="1">IFERROR(__xludf.DUMMYFUNCTION("$C415*IMPORTRANGE(""https://docs.google.com/spreadsheets/d/1xsp01RMmkav9iTy39Zaj_7tE9677EGlOJ14KU9TZn7I/"",""2004-2017!H3490"")"),4.52735835)</f>
        <v>4.5273583500000001</v>
      </c>
      <c r="E421" s="72">
        <f ca="1">IFERROR(__xludf.DUMMYFUNCTION("$C415*IMPORTRANGE(""https://docs.google.com/spreadsheets/d/1xsp01RMmkav9iTy39Zaj_7tE9677EGlOJ14KU9TZn7I/"",""2004-2017!T3490"")"),3.858642175)</f>
        <v>3.858642175</v>
      </c>
      <c r="F421" s="72">
        <f ca="1">IFERROR(__xludf.DUMMYFUNCTION("$C415*IMPORTRANGE(""https://docs.google.com/spreadsheets/d/1xsp01RMmkav9iTy39Zaj_7tE9677EGlOJ14KU9TZn7I/"",""2004-2017!AC3490"")"),517.28358886925)</f>
        <v>517.28358886925002</v>
      </c>
      <c r="G421" s="61" t="s">
        <v>8</v>
      </c>
      <c r="K421" s="2"/>
      <c r="L421" s="3"/>
      <c r="M421" s="122"/>
      <c r="N421" s="122"/>
      <c r="O421" s="122"/>
      <c r="P421" s="122"/>
      <c r="Q421" s="2"/>
    </row>
    <row r="422" spans="1:17" ht="13.2" x14ac:dyDescent="0.25">
      <c r="A422" s="88" t="s">
        <v>409</v>
      </c>
      <c r="B422" s="91">
        <v>86</v>
      </c>
      <c r="C422" s="75">
        <f>2967.5/1000</f>
        <v>2.9674999999999998</v>
      </c>
      <c r="D422" s="76">
        <f ca="1">IFERROR(__xludf.DUMMYFUNCTION("$C416*IMPORTRANGE(""https://docs.google.com/spreadsheets/d/1xsp01RMmkav9iTy39Zaj_7tE9677EGlOJ14KU9TZn7I/"",""2004-2017!H3512"")"),2.694816425)</f>
        <v>2.694816425</v>
      </c>
      <c r="E422" s="76">
        <f ca="1">IFERROR(__xludf.DUMMYFUNCTION("$C416*IMPORTRANGE(""https://docs.google.com/spreadsheets/d/1xsp01RMmkav9iTy39Zaj_7tE9677EGlOJ14KU9TZn7I/"",""2004-2017!T3512"")"),2.42118325)</f>
        <v>2.4211832499999999</v>
      </c>
      <c r="F422" s="76">
        <f ca="1">IFERROR(__xludf.DUMMYFUNCTION("$C416*IMPORTRANGE(""https://docs.google.com/spreadsheets/d/1xsp01RMmkav9iTy39Zaj_7tE9677EGlOJ14KU9TZn7I/"",""2004-2017!AC3512"")"),308.177836565)</f>
        <v>308.17783656500001</v>
      </c>
      <c r="G422" s="73" t="s">
        <v>8</v>
      </c>
      <c r="K422" s="2"/>
      <c r="L422" s="3"/>
      <c r="M422" s="122"/>
      <c r="N422" s="122"/>
      <c r="O422" s="122"/>
      <c r="P422" s="122"/>
      <c r="Q422" s="2"/>
    </row>
    <row r="423" spans="1:17" ht="13.2" x14ac:dyDescent="0.25">
      <c r="A423" s="87" t="s">
        <v>410</v>
      </c>
      <c r="B423" s="90">
        <v>80</v>
      </c>
      <c r="C423" s="63">
        <f>4118.8/1000</f>
        <v>4.1188000000000002</v>
      </c>
      <c r="D423" s="72">
        <f ca="1">IFERROR(__xludf.DUMMYFUNCTION("$C417*IMPORTRANGE(""https://docs.google.com/spreadsheets/d/1xsp01RMmkav9iTy39Zaj_7tE9677EGlOJ14KU9TZn7I/"",""2004-2017!H3535"")"),3.83542656)</f>
        <v>3.8354265600000002</v>
      </c>
      <c r="E423" s="72">
        <f ca="1">IFERROR(__xludf.DUMMYFUNCTION("$C417*IMPORTRANGE(""https://docs.google.com/spreadsheets/d/1xsp01RMmkav9iTy39Zaj_7tE9677EGlOJ14KU9TZn7I/"",""2004-2017!T3535"")"),3.3115152)</f>
        <v>3.3115152000000001</v>
      </c>
      <c r="F423" s="72">
        <f ca="1">IFERROR(__xludf.DUMMYFUNCTION("$C417*IMPORTRANGE(""https://docs.google.com/spreadsheets/d/1xsp01RMmkav9iTy39Zaj_7tE9677EGlOJ14KU9TZn7I/"",""2004-2017!AC3535"")"),446.8630422158)</f>
        <v>446.86304221580002</v>
      </c>
      <c r="G423" s="61" t="s">
        <v>8</v>
      </c>
      <c r="K423" s="2"/>
      <c r="L423" s="3"/>
      <c r="M423" s="122"/>
      <c r="N423" s="122"/>
      <c r="O423" s="122"/>
      <c r="P423" s="122"/>
      <c r="Q423" s="2"/>
    </row>
    <row r="424" spans="1:17" ht="13.2" x14ac:dyDescent="0.25">
      <c r="A424" s="89" t="s">
        <v>411</v>
      </c>
      <c r="B424" s="92">
        <v>120</v>
      </c>
      <c r="C424" s="79">
        <f>4338.5/1000</f>
        <v>4.3384999999999998</v>
      </c>
      <c r="D424" s="80">
        <f ca="1">IFERROR(__xludf.DUMMYFUNCTION("$C418*IMPORTRANGE(""https://docs.google.com/spreadsheets/d/1xsp01RMmkav9iTy39Zaj_7tE9677EGlOJ14KU9TZn7I/"",""2004-2017!H3558"")"),4.1198396)</f>
        <v>4.1198395999999997</v>
      </c>
      <c r="E424" s="80">
        <f ca="1">IFERROR(__xludf.DUMMYFUNCTION("$C418*IMPORTRANGE(""https://docs.google.com/spreadsheets/d/1xsp01RMmkav9iTy39Zaj_7tE9677EGlOJ14KU9TZn7I/"",""2004-2017!T3558"")"),3.4699323)</f>
        <v>3.4699323</v>
      </c>
      <c r="F424" s="80">
        <f ca="1">IFERROR(__xludf.DUMMYFUNCTION("$C418*IMPORTRANGE(""https://docs.google.com/spreadsheets/d/1xsp01RMmkav9iTy39Zaj_7tE9677EGlOJ14KU9TZn7I/"",""2004-2017!AC3558"")"),506.094704169249)</f>
        <v>506.09470416924898</v>
      </c>
      <c r="G424" s="77" t="s">
        <v>8</v>
      </c>
      <c r="K424" s="2"/>
      <c r="L424" s="3"/>
      <c r="M424" s="122"/>
      <c r="N424" s="122"/>
      <c r="O424" s="122"/>
      <c r="P424" s="122"/>
      <c r="Q424" s="2"/>
    </row>
    <row r="425" spans="1:17" ht="13.2" x14ac:dyDescent="0.25">
      <c r="A425" s="58">
        <v>2017</v>
      </c>
      <c r="B425" s="59"/>
      <c r="C425" s="93"/>
      <c r="D425" s="93"/>
      <c r="E425" s="93"/>
      <c r="F425" s="93"/>
      <c r="G425" s="58"/>
      <c r="K425" s="2"/>
      <c r="L425" s="3"/>
      <c r="M425" s="122"/>
      <c r="N425" s="122"/>
      <c r="O425" s="122"/>
      <c r="P425" s="122"/>
      <c r="Q425" s="2"/>
    </row>
    <row r="426" spans="1:17" ht="13.2" x14ac:dyDescent="0.25">
      <c r="A426" s="87" t="s">
        <v>412</v>
      </c>
      <c r="B426" s="90">
        <v>109</v>
      </c>
      <c r="C426" s="63">
        <f>10491.9/1000</f>
        <v>10.491899999999999</v>
      </c>
      <c r="D426" s="72">
        <f ca="1">IFERROR(__xludf.DUMMYFUNCTION("$C420*IMPORTRANGE(""https://docs.google.com/spreadsheets/d/1xsp01RMmkav9iTy39Zaj_7tE9677EGlOJ14KU9TZn7I/"",""2004-2017!H3582"")"),9.87723203849999)</f>
        <v>9.8772320384999901</v>
      </c>
      <c r="E426" s="72">
        <f ca="1">IFERROR(__xludf.DUMMYFUNCTION("$C420*IMPORTRANGE(""https://docs.google.com/spreadsheets/d/1xsp01RMmkav9iTy39Zaj_7tE9677EGlOJ14KU9TZn7I/"",""2004-2017!T3582"")"),8.50746203399999)</f>
        <v>8.5074620339999907</v>
      </c>
      <c r="F426" s="72">
        <f ca="1">IFERROR(__xludf.DUMMYFUNCTION("$C420*IMPORTRANGE(""https://docs.google.com/spreadsheets/d/1xsp01RMmkav9iTy39Zaj_7tE9677EGlOJ14KU9TZn7I/"",""2004-2017!AC3582"")"),1203.5783085)</f>
        <v>1203.5783085</v>
      </c>
      <c r="G426" s="61" t="s">
        <v>8</v>
      </c>
      <c r="K426" s="2"/>
      <c r="L426" s="3"/>
      <c r="M426" s="122"/>
      <c r="N426" s="122"/>
      <c r="O426" s="122"/>
      <c r="P426" s="122"/>
      <c r="Q426" s="2"/>
    </row>
    <row r="427" spans="1:17" ht="13.2" x14ac:dyDescent="0.25">
      <c r="A427" s="88" t="s">
        <v>413</v>
      </c>
      <c r="B427" s="91">
        <v>83</v>
      </c>
      <c r="C427" s="75">
        <f>3055.1/1000</f>
        <v>3.0550999999999999</v>
      </c>
      <c r="D427" s="76">
        <f ca="1">IFERROR(__xludf.DUMMYFUNCTION("$C421*IMPORTRANGE(""https://docs.google.com/spreadsheets/d/1xsp01RMmkav9iTy39Zaj_7tE9677EGlOJ14KU9TZn7I/"",""2004-2017!h3603"")"),2.8759031095)</f>
        <v>2.8759031094999998</v>
      </c>
      <c r="E427" s="76">
        <f ca="1">IFERROR(__xludf.DUMMYFUNCTION("$C421*IMPORTRANGE(""https://docs.google.com/spreadsheets/d/1xsp01RMmkav9iTy39Zaj_7tE9677EGlOJ14KU9TZn7I/"",""2004-2017!T3603"")"),2.446860141)</f>
        <v>2.4468601410000002</v>
      </c>
      <c r="F427" s="76">
        <f ca="1">IFERROR(__xludf.DUMMYFUNCTION("$C421*IMPORTRANGE(""https://docs.google.com/spreadsheets/d/1xsp01RMmkav9iTy39Zaj_7tE9677EGlOJ14KU9TZn7I/"",""2004-2017!AC3603"")"),345.5180651051)</f>
        <v>345.51806510509999</v>
      </c>
      <c r="G427" s="73" t="s">
        <v>8</v>
      </c>
      <c r="K427" s="2"/>
      <c r="L427" s="3"/>
      <c r="M427" s="122"/>
      <c r="N427" s="122"/>
      <c r="O427" s="122"/>
      <c r="P427" s="122"/>
      <c r="Q427" s="2"/>
    </row>
    <row r="428" spans="1:17" ht="13.2" x14ac:dyDescent="0.25">
      <c r="A428" s="87" t="s">
        <v>414</v>
      </c>
      <c r="B428" s="90">
        <v>125</v>
      </c>
      <c r="C428" s="63">
        <f>7119.6/1000</f>
        <v>7.1196000000000002</v>
      </c>
      <c r="D428" s="72">
        <f ca="1">IFERROR(__xludf.DUMMYFUNCTION("$C422*IMPORTRANGE(""https://docs.google.com/spreadsheets/d/1xsp01RMmkav9iTy39Zaj_7tE9677EGlOJ14KU9TZn7I/"",""2004-2017!H3627"")"),6.66002982)</f>
        <v>6.6600298200000001</v>
      </c>
      <c r="E428" s="72">
        <f ca="1">IFERROR(__xludf.DUMMYFUNCTION("$C422*IMPORTRANGE(""https://docs.google.com/spreadsheets/d/1xsp01RMmkav9iTy39Zaj_7tE9677EGlOJ14KU9TZn7I/"",""2004-2017!T3627"")"),5.764312944)</f>
        <v>5.7643129440000003</v>
      </c>
      <c r="F428" s="72">
        <f ca="1">IFERROR(__xludf.DUMMYFUNCTION("$C422*IMPORTRANGE(""https://docs.google.com/spreadsheets/d/1xsp01RMmkav9iTy39Zaj_7tE9677EGlOJ14KU9TZn7I/"",""2004-2017!AC3627"")"),806.9354355216)</f>
        <v>806.93543552159997</v>
      </c>
      <c r="G428" s="61" t="s">
        <v>8</v>
      </c>
      <c r="K428" s="2"/>
      <c r="L428" s="3"/>
      <c r="M428" s="122"/>
      <c r="N428" s="122"/>
      <c r="O428" s="122"/>
      <c r="P428" s="122"/>
      <c r="Q428" s="2"/>
    </row>
    <row r="429" spans="1:17" ht="13.2" x14ac:dyDescent="0.25">
      <c r="A429" s="88" t="s">
        <v>415</v>
      </c>
      <c r="B429" s="91">
        <v>84</v>
      </c>
      <c r="C429" s="75">
        <f>3281.7/1000</f>
        <v>3.2816999999999998</v>
      </c>
      <c r="D429" s="76">
        <f ca="1">IFERROR(__xludf.DUMMYFUNCTION("$C423*IMPORTRANGE(""https://docs.google.com/spreadsheets/d/1xsp01RMmkav9iTy39Zaj_7tE9677EGlOJ14KU9TZn7I/"",""2004-2017!H3648"")"),3.075182619)</f>
        <v>3.075182619</v>
      </c>
      <c r="E429" s="76">
        <f ca="1">IFERROR(__xludf.DUMMYFUNCTION("$C423*IMPORTRANGE(""https://docs.google.com/spreadsheets/d/1xsp01RMmkav9iTy39Zaj_7tE9677EGlOJ14KU9TZn7I/"",""2004-2017!T3648"")"),2.61587588699999)</f>
        <v>2.6158758869999899</v>
      </c>
      <c r="F429" s="76">
        <f ca="1">IFERROR(__xludf.DUMMYFUNCTION("$C423*IMPORTRANGE(""https://docs.google.com/spreadsheets/d/1xsp01RMmkav9iTy39Zaj_7tE9677EGlOJ14KU9TZn7I/"",""2004-2017!AC3648"")"),361.576055304899)</f>
        <v>361.576055304899</v>
      </c>
      <c r="G429" s="73" t="s">
        <v>8</v>
      </c>
      <c r="K429" s="2"/>
      <c r="L429" s="3"/>
      <c r="M429" s="122"/>
      <c r="N429" s="122"/>
      <c r="O429" s="122"/>
      <c r="P429" s="122"/>
      <c r="Q429" s="2"/>
    </row>
    <row r="430" spans="1:17" ht="13.2" x14ac:dyDescent="0.25">
      <c r="A430" s="87" t="s">
        <v>416</v>
      </c>
      <c r="B430" s="90">
        <v>94</v>
      </c>
      <c r="C430" s="63">
        <f>2693.8/1000</f>
        <v>2.6938</v>
      </c>
      <c r="D430" s="72">
        <f ca="1">IFERROR(__xludf.DUMMYFUNCTION("$C424*IMPORTRANGE(""https://docs.google.com/spreadsheets/d/1xsp01RMmkav9iTy39Zaj_7tE9677EGlOJ14KU9TZn7I/"",""2004-2017!H3672"")"),2.45297428)</f>
        <v>2.4529742799999998</v>
      </c>
      <c r="E430" s="72">
        <f ca="1">IFERROR(__xludf.DUMMYFUNCTION("$C424*IMPORTRANGE(""https://docs.google.com/spreadsheets/d/1xsp01RMmkav9iTy39Zaj_7tE9677EGlOJ14KU9TZn7I/"",""2004-2017!T3672"")"),2.08311554)</f>
        <v>2.0831155400000001</v>
      </c>
      <c r="F430" s="72">
        <f ca="1">IFERROR(__xludf.DUMMYFUNCTION("$C424*IMPORTRANGE(""https://docs.google.com/spreadsheets/d/1xsp01RMmkav9iTy39Zaj_7tE9677EGlOJ14KU9TZn7I/"",""2004-2017!AC3672"")"),301.5897692938)</f>
        <v>301.58976929379998</v>
      </c>
      <c r="G430" s="61" t="s">
        <v>8</v>
      </c>
      <c r="K430" s="2"/>
      <c r="L430" s="3"/>
      <c r="M430" s="122"/>
      <c r="N430" s="122"/>
      <c r="O430" s="122"/>
      <c r="P430" s="122"/>
      <c r="Q430" s="2"/>
    </row>
    <row r="431" spans="1:17" ht="13.2" x14ac:dyDescent="0.25">
      <c r="A431" s="88" t="s">
        <v>417</v>
      </c>
      <c r="B431" s="91">
        <v>91</v>
      </c>
      <c r="C431" s="75">
        <f>1960.4/1000</f>
        <v>1.9604000000000001</v>
      </c>
      <c r="D431" s="76">
        <f ca="1">IFERROR(__xludf.DUMMYFUNCTION("$C425*IMPORTRANGE(""https://docs.google.com/spreadsheets/d/1xsp01RMmkav9iTy39Zaj_7tE9677EGlOJ14KU9TZn7I/"",""2004-2017!H3695"")"),1.74901987)</f>
        <v>1.7490198699999999</v>
      </c>
      <c r="E431" s="76">
        <f ca="1">IFERROR(__xludf.DUMMYFUNCTION("$C425*IMPORTRANGE(""https://docs.google.com/spreadsheets/d/1xsp01RMmkav9iTy39Zaj_7tE9677EGlOJ14KU9TZn7I/"",""2004-2017!T3695"")"),1.536796768)</f>
        <v>1.5367967680000001</v>
      </c>
      <c r="F431" s="76">
        <f ca="1">IFERROR(__xludf.DUMMYFUNCTION("$C425*IMPORTRANGE(""https://docs.google.com/spreadsheets/d/1xsp01RMmkav9iTy39Zaj_7tE9677EGlOJ14KU9TZn7I/"",""2004-2017!AC3695"")"),217.512266101)</f>
        <v>217.51226610099999</v>
      </c>
      <c r="G431" s="73" t="s">
        <v>8</v>
      </c>
      <c r="K431" s="2"/>
      <c r="L431" s="3"/>
      <c r="M431" s="122"/>
      <c r="N431" s="122"/>
      <c r="O431" s="122"/>
      <c r="P431" s="122"/>
      <c r="Q431" s="2"/>
    </row>
    <row r="432" spans="1:17" ht="13.2" x14ac:dyDescent="0.25">
      <c r="A432" s="87" t="s">
        <v>418</v>
      </c>
      <c r="B432" s="90">
        <v>89</v>
      </c>
      <c r="C432" s="63">
        <f>4180.2/1000</f>
        <v>4.1802000000000001</v>
      </c>
      <c r="D432" s="72">
        <f ca="1">IFERROR(__xludf.DUMMYFUNCTION("$C426*IMPORTRANGE(""https://docs.google.com/spreadsheets/d/1xsp01RMmkav9iTy39Zaj_7tE9677EGlOJ14KU9TZn7I/"",""2004-2017!H3717"")"),3.642918894)</f>
        <v>3.6429188940000001</v>
      </c>
      <c r="E432" s="72">
        <f ca="1">IFERROR(__xludf.DUMMYFUNCTION("$C426*IMPORTRANGE(""https://docs.google.com/spreadsheets/d/1xsp01RMmkav9iTy39Zaj_7tE9677EGlOJ14KU9TZn7I/"",""2004-2017!T3717"")"),3.212922621)</f>
        <v>3.2129226210000001</v>
      </c>
      <c r="F432" s="72">
        <f ca="1">IFERROR(__xludf.DUMMYFUNCTION("$C426*IMPORTRANGE(""https://docs.google.com/spreadsheets/d/1xsp01RMmkav9iTy39Zaj_7tE9677EGlOJ14KU9TZn7I/"",""2004-2017!AC3717"")"),469.559784260399)</f>
        <v>469.559784260399</v>
      </c>
      <c r="G432" s="61" t="s">
        <v>8</v>
      </c>
      <c r="K432" s="2"/>
      <c r="L432" s="3"/>
      <c r="M432" s="122"/>
      <c r="N432" s="122"/>
      <c r="O432" s="122"/>
      <c r="P432" s="122"/>
      <c r="Q432" s="2"/>
    </row>
    <row r="433" spans="1:17" ht="13.2" x14ac:dyDescent="0.25">
      <c r="A433" s="88" t="s">
        <v>419</v>
      </c>
      <c r="B433" s="91">
        <v>81</v>
      </c>
      <c r="C433" s="75">
        <f>9597.3/1000</f>
        <v>9.5972999999999988</v>
      </c>
      <c r="D433" s="76">
        <f ca="1">IFERROR(__xludf.DUMMYFUNCTION("$C427*IMPORTRANGE(""https://docs.google.com/spreadsheets/d/1xsp01RMmkav9iTy39Zaj_7tE9677EGlOJ14KU9TZn7I/"",""2004-2017!H3741"")"),8.13179229)</f>
        <v>8.1317922899999999</v>
      </c>
      <c r="E433" s="76">
        <f ca="1">IFERROR(__xludf.DUMMYFUNCTION("$C427*IMPORTRANGE(""https://docs.google.com/spreadsheets/d/1xsp01RMmkav9iTy39Zaj_7tE9677EGlOJ14KU9TZn7I/"",""2004-2017!T3741"")"),7.42418336099999)</f>
        <v>7.4241833609999901</v>
      </c>
      <c r="F433" s="76">
        <f ca="1">IFERROR(__xludf.DUMMYFUNCTION("$C427*IMPORTRANGE(""https://docs.google.com/spreadsheets/d/1xsp01RMmkav9iTy39Zaj_7tE9677EGlOJ14KU9TZn7I/"",""2004-2017!AC3741"")"),1054.74328919459)</f>
        <v>1054.74328919459</v>
      </c>
      <c r="G433" s="73" t="s">
        <v>8</v>
      </c>
      <c r="K433" s="2"/>
      <c r="L433" s="3"/>
      <c r="M433" s="122"/>
      <c r="N433" s="122"/>
      <c r="O433" s="122"/>
      <c r="P433" s="122"/>
      <c r="Q433" s="2"/>
    </row>
    <row r="434" spans="1:17" ht="13.2" x14ac:dyDescent="0.25">
      <c r="A434" s="87" t="s">
        <v>420</v>
      </c>
      <c r="B434" s="90">
        <v>86</v>
      </c>
      <c r="C434" s="63">
        <f>7845/1000</f>
        <v>7.8449999999999998</v>
      </c>
      <c r="D434" s="72">
        <f ca="1">IFERROR(__xludf.DUMMYFUNCTION("$C428*IMPORTRANGE(""https://docs.google.com/spreadsheets/d/1xsp01RMmkav9iTy39Zaj_7tE9677EGlOJ14KU9TZn7I/"",""2004-2017!H3763"")"),6.5791308)</f>
        <v>6.5791307999999997</v>
      </c>
      <c r="E434" s="72">
        <f ca="1">IFERROR(__xludf.DUMMYFUNCTION("$C428*IMPORTRANGE(""https://docs.google.com/spreadsheets/d/1xsp01RMmkav9iTy39Zaj_7tE9677EGlOJ14KU9TZn7I/"",""2004-2017!T3763"")"),5.85495885)</f>
        <v>5.85495885</v>
      </c>
      <c r="F434" s="72">
        <f ca="1">IFERROR(__xludf.DUMMYFUNCTION("$C428*IMPORTRANGE(""https://docs.google.com/spreadsheets/d/1xsp01RMmkav9iTy39Zaj_7tE9677EGlOJ14KU9TZn7I/"",""2004-2017!AC3763"")"),866.990167155)</f>
        <v>866.99016715499999</v>
      </c>
      <c r="G434" s="61" t="s">
        <v>8</v>
      </c>
      <c r="K434" s="2"/>
      <c r="L434" s="3"/>
      <c r="M434" s="122"/>
      <c r="N434" s="122"/>
      <c r="O434" s="122"/>
      <c r="P434" s="122"/>
      <c r="Q434" s="2"/>
    </row>
    <row r="435" spans="1:17" ht="13.2" x14ac:dyDescent="0.25">
      <c r="A435" s="88" t="s">
        <v>421</v>
      </c>
      <c r="B435" s="91">
        <v>83</v>
      </c>
      <c r="C435" s="75">
        <f>12929.4/1000</f>
        <v>12.929399999999999</v>
      </c>
      <c r="D435" s="76">
        <f ca="1">IFERROR(__xludf.DUMMYFUNCTION("$C429*IMPORTRANGE(""https://docs.google.com/spreadsheets/d/1xsp01RMmkav9iTy39Zaj_7tE9677EGlOJ14KU9TZn7I/"",""2004-2017!H3786"")"),10.995226407)</f>
        <v>10.995226407000001</v>
      </c>
      <c r="E435" s="76">
        <f ca="1">IFERROR(__xludf.DUMMYFUNCTION("$C429*IMPORTRANGE(""https://docs.google.com/spreadsheets/d/1xsp01RMmkav9iTy39Zaj_7tE9677EGlOJ14KU9TZn7I/"",""2004-2017!T3786"")"),9.78626285999999)</f>
        <v>9.7862628599999901</v>
      </c>
      <c r="F435" s="76">
        <f ca="1">IFERROR(__xludf.DUMMYFUNCTION("$C429*IMPORTRANGE(""https://docs.google.com/spreadsheets/d/1xsp01RMmkav9iTy39Zaj_7tE9677EGlOJ14KU9TZn7I/"",""2004-2017!AC3786"")"),1458.07429033529)</f>
        <v>1458.07429033529</v>
      </c>
      <c r="G435" s="73" t="s">
        <v>8</v>
      </c>
      <c r="K435" s="2"/>
      <c r="L435" s="3"/>
      <c r="M435" s="122"/>
      <c r="N435" s="122"/>
      <c r="O435" s="122"/>
      <c r="P435" s="122"/>
      <c r="Q435" s="2"/>
    </row>
    <row r="436" spans="1:17" ht="13.2" x14ac:dyDescent="0.25">
      <c r="A436" s="87" t="s">
        <v>422</v>
      </c>
      <c r="B436" s="90">
        <v>95</v>
      </c>
      <c r="C436" s="63">
        <f>4508.3/1000</f>
        <v>4.5083000000000002</v>
      </c>
      <c r="D436" s="72">
        <f ca="1">IFERROR(__xludf.DUMMYFUNCTION("$C430*IMPORTRANGE(""https://docs.google.com/spreadsheets/d/1xsp01RMmkav9iTy39Zaj_7tE9677EGlOJ14KU9TZn7I/"",""2004-2017!H3809"")"),3.842784754)</f>
        <v>3.8427847540000002</v>
      </c>
      <c r="E436" s="72">
        <f ca="1">IFERROR(__xludf.DUMMYFUNCTION("$C430*IMPORTRANGE(""https://docs.google.com/spreadsheets/d/1xsp01RMmkav9iTy39Zaj_7tE9677EGlOJ14KU9TZn7I/"",""2004-2017!T3809"")"),3.414676586)</f>
        <v>3.4146765860000001</v>
      </c>
      <c r="F436" s="72">
        <f ca="1">IFERROR(__xludf.DUMMYFUNCTION("$C430*IMPORTRANGE(""https://docs.google.com/spreadsheets/d/1xsp01RMmkav9iTy39Zaj_7tE9677EGlOJ14KU9TZn7I/"",""2004-2017!AC3809"")"),511.1285125)</f>
        <v>511.1285125</v>
      </c>
      <c r="G436" s="61" t="s">
        <v>8</v>
      </c>
      <c r="K436" s="2"/>
      <c r="L436" s="3"/>
      <c r="M436" s="122"/>
      <c r="N436" s="122"/>
      <c r="O436" s="122"/>
      <c r="P436" s="122"/>
      <c r="Q436" s="2"/>
    </row>
    <row r="437" spans="1:17" ht="13.2" x14ac:dyDescent="0.25">
      <c r="A437" s="89" t="s">
        <v>423</v>
      </c>
      <c r="B437" s="92">
        <v>83</v>
      </c>
      <c r="C437" s="79">
        <f>7991.7/1000</f>
        <v>7.9916999999999998</v>
      </c>
      <c r="D437" s="80">
        <f ca="1">IFERROR(__xludf.DUMMYFUNCTION("$C431*IMPORTRANGE(""https://docs.google.com/spreadsheets/d/1xsp01RMmkav9iTy39Zaj_7tE9677EGlOJ14KU9TZn7I/"",""2004-2017!H3831"")"),6.74899065)</f>
        <v>6.7489906499999996</v>
      </c>
      <c r="E437" s="80">
        <f ca="1">IFERROR(__xludf.DUMMYFUNCTION("$C431*IMPORTRANGE(""https://docs.google.com/spreadsheets/d/1xsp01RMmkav9iTy39Zaj_7tE9677EGlOJ14KU9TZn7I/"",""2004-2017!T3831"")"),5.967482307)</f>
        <v>5.967482307</v>
      </c>
      <c r="F437" s="80">
        <f ca="1">IFERROR(__xludf.DUMMYFUNCTION("$C431*IMPORTRANGE(""https://docs.google.com/spreadsheets/d/1xsp01RMmkav9iTy39Zaj_7tE9677EGlOJ14KU9TZn7I/"",""2004-2017!AC3831"")"),902.9262570834)</f>
        <v>902.92625708339995</v>
      </c>
      <c r="G437" s="77" t="s">
        <v>8</v>
      </c>
      <c r="K437" s="2"/>
      <c r="L437" s="3"/>
      <c r="M437" s="122"/>
      <c r="N437" s="122"/>
      <c r="O437" s="122"/>
      <c r="P437" s="122"/>
      <c r="Q437" s="2"/>
    </row>
    <row r="438" spans="1:17" ht="13.2" x14ac:dyDescent="0.25">
      <c r="A438" s="58">
        <v>2018</v>
      </c>
      <c r="B438" s="59"/>
      <c r="C438" s="93"/>
      <c r="D438" s="93"/>
      <c r="E438" s="93"/>
      <c r="F438" s="93"/>
      <c r="G438" s="58"/>
      <c r="K438" s="2"/>
      <c r="L438" s="3"/>
      <c r="M438" s="122"/>
      <c r="N438" s="122" t="s">
        <v>424</v>
      </c>
      <c r="O438" s="122"/>
      <c r="P438" s="122"/>
      <c r="Q438" s="2"/>
    </row>
    <row r="439" spans="1:17" ht="13.2" x14ac:dyDescent="0.25">
      <c r="A439" s="95">
        <v>43118</v>
      </c>
      <c r="B439" s="90">
        <v>91</v>
      </c>
      <c r="C439" s="63">
        <f>2017/1000</f>
        <v>2.0169999999999999</v>
      </c>
      <c r="D439" s="96">
        <f ca="1">IFERROR(__xludf.DUMMYFUNCTION("C433*IMPORTRANGE(""https://docs.google.com/spreadsheets/d/1xsp01RMmkav9iTy39Zaj_7tE9677EGlOJ14KU9TZn7I"",""H25"")"),1.65432323)</f>
        <v>1.6543232299999999</v>
      </c>
      <c r="E439" s="96">
        <f ca="1">IFERROR(__xludf.DUMMYFUNCTION("C433*IMPORTRANGE(""https://docs.google.com/spreadsheets/d/1xsp01RMmkav9iTy39Zaj_7tE9677EGlOJ14KU9TZn7I/"",""T25"")"),1.46178040999999)</f>
        <v>1.46178040999999</v>
      </c>
      <c r="F439" s="96">
        <f ca="1">IFERROR(__xludf.DUMMYFUNCTION("C433*IMPORTRANGE(""https://docs.google.com/spreadsheets/d/1xsp01RMmkav9iTy39Zaj_7tE9677EGlOJ14KU9TZn7I"",""AC25"")"),224.0887)</f>
        <v>224.08869999999999</v>
      </c>
      <c r="G439" s="61" t="s">
        <v>8</v>
      </c>
      <c r="K439" s="120"/>
      <c r="L439" s="3"/>
      <c r="M439" s="122"/>
      <c r="N439" s="122"/>
      <c r="O439" s="122"/>
      <c r="P439" s="122"/>
      <c r="Q439" s="2"/>
    </row>
    <row r="440" spans="1:17" ht="13.2" x14ac:dyDescent="0.25">
      <c r="A440" s="97">
        <v>44975</v>
      </c>
      <c r="B440" s="91">
        <v>74</v>
      </c>
      <c r="C440" s="75">
        <f>4629.4/1000</f>
        <v>4.6293999999999995</v>
      </c>
      <c r="D440" s="98">
        <f ca="1">IFERROR(__xludf.DUMMYFUNCTION("C434*IMPORTRANGE(""https://docs.google.com/spreadsheets/d/1xsp01RMmkav9iTy39Zaj_7tE9677EGlOJ14KU9TZn7I"",""H46"")"),3.75016120499999)</f>
        <v>3.7501612049999902</v>
      </c>
      <c r="E440" s="98">
        <f ca="1">IFERROR(__xludf.DUMMYFUNCTION("C434*IMPORTRANGE(""https://docs.google.com/spreadsheets/d/1xsp01RMmkav9iTy39Zaj_7tE9677EGlOJ14KU9TZn7I"",""T46"")"),3.31557627999999)</f>
        <v>3.3155762799999899</v>
      </c>
      <c r="F440" s="98">
        <f ca="1">IFERROR(__xludf.DUMMYFUNCTION("C434*IMPORTRANGE(""https://docs.google.com/spreadsheets/d/1xsp01RMmkav9iTy39Zaj_7tE9677EGlOJ14KU9TZn7I"",""AC46"")"),498.398889299999)</f>
        <v>498.39888929999898</v>
      </c>
      <c r="G440" s="73" t="s">
        <v>8</v>
      </c>
      <c r="I440" s="121"/>
      <c r="K440" s="120"/>
      <c r="L440" s="3"/>
      <c r="M440" s="122"/>
      <c r="N440" s="122"/>
      <c r="O440" s="122"/>
      <c r="P440" s="122"/>
      <c r="Q440" s="2"/>
    </row>
    <row r="441" spans="1:17" ht="13.2" x14ac:dyDescent="0.25">
      <c r="A441" s="95">
        <v>45003</v>
      </c>
      <c r="B441" s="90">
        <v>92</v>
      </c>
      <c r="C441" s="63">
        <f>14031.9/1000</f>
        <v>14.0319</v>
      </c>
      <c r="D441" s="96">
        <f ca="1">IFERROR(__xludf.DUMMYFUNCTION("C435*IMPORTRANGE(""https://docs.google.com/spreadsheets/d/1xsp01RMmkav9iTy39Zaj_7tE9677EGlOJ14KU9TZn7I"",""H69"")"),11.379590262)</f>
        <v>11.379590262000001</v>
      </c>
      <c r="E441" s="96">
        <f ca="1">IFERROR(__xludf.DUMMYFUNCTION("C435*IMPORTRANGE(""https://docs.google.com/spreadsheets/d/1xsp01RMmkav9iTy39Zaj_7tE9677EGlOJ14KU9TZn7I"",""T69"")"),10.053295074)</f>
        <v>10.053295073999999</v>
      </c>
      <c r="F441" s="96">
        <f ca="1">IFERROR(__xludf.DUMMYFUNCTION("C435*IMPORTRANGE(""https://docs.google.com/spreadsheets/d/1xsp01RMmkav9iTy39Zaj_7tE9677EGlOJ14KU9TZn7I"",""AC69"")"),1489.82996654999)</f>
        <v>1489.8299665499901</v>
      </c>
      <c r="G441" s="61" t="s">
        <v>8</v>
      </c>
      <c r="K441" s="120"/>
      <c r="L441" s="3"/>
      <c r="M441" s="122"/>
      <c r="N441" s="122"/>
      <c r="O441" s="122"/>
      <c r="P441" s="122"/>
      <c r="Q441" s="2"/>
    </row>
    <row r="442" spans="1:17" ht="13.2" x14ac:dyDescent="0.25">
      <c r="A442" s="97">
        <v>45034</v>
      </c>
      <c r="B442" s="91">
        <v>82</v>
      </c>
      <c r="C442" s="75">
        <f>5051.8/1000</f>
        <v>5.0518000000000001</v>
      </c>
      <c r="D442" s="98">
        <f ca="1">IFERROR(__xludf.DUMMYFUNCTION("C436*IMPORTRANGE(""https://docs.google.com/spreadsheets/d/1xsp01RMmkav9iTy39Zaj_7tE9677EGlOJ14KU9TZn7I"",""H91"")"),4.109588782)</f>
        <v>4.1095887820000003</v>
      </c>
      <c r="E442" s="98">
        <f ca="1">IFERROR(__xludf.DUMMYFUNCTION("C436*IMPORTRANGE(""https://docs.google.com/spreadsheets/d/1xsp01RMmkav9iTy39Zaj_7tE9677EGlOJ14KU9TZn7I"",""T91"")"),3.58627282)</f>
        <v>3.58627282</v>
      </c>
      <c r="F442" s="98">
        <f ca="1">IFERROR(__xludf.DUMMYFUNCTION("C436*IMPORTRANGE(""https://docs.google.com/spreadsheets/d/1xsp01RMmkav9iTy39Zaj_7tE9677EGlOJ14KU9TZn7I"",""AC91"")"),541.1134534)</f>
        <v>541.11345340000003</v>
      </c>
      <c r="G442" s="73" t="s">
        <v>8</v>
      </c>
      <c r="K442" s="120"/>
      <c r="L442" s="3"/>
      <c r="M442" s="122"/>
      <c r="N442" s="122"/>
      <c r="O442" s="122"/>
      <c r="P442" s="122"/>
      <c r="Q442" s="2"/>
    </row>
    <row r="443" spans="1:17" ht="13.2" x14ac:dyDescent="0.25">
      <c r="A443" s="95">
        <v>45064</v>
      </c>
      <c r="B443" s="90">
        <v>71</v>
      </c>
      <c r="C443" s="63">
        <f>7237.4/1000</f>
        <v>7.2374000000000001</v>
      </c>
      <c r="D443" s="96">
        <f ca="1">IFERROR(__xludf.DUMMYFUNCTION("C437*IMPORTRANGE(""https://docs.google.com/spreadsheets/d/1xsp01RMmkav9iTy39Zaj_7tE9677EGlOJ14KU9TZn7I/"",""H115"")"),6.122550904)</f>
        <v>6.1225509039999997</v>
      </c>
      <c r="E443" s="96">
        <f ca="1">IFERROR(__xludf.DUMMYFUNCTION("C437*IMPORTRANGE(""https://docs.google.com/spreadsheets/d/1xsp01RMmkav9iTy39Zaj_7tE9677EGlOJ14KU9TZn7I"",""T115"")"),5.351767804)</f>
        <v>5.3517678039999996</v>
      </c>
      <c r="F443" s="96">
        <f ca="1">IFERROR(__xludf.DUMMYFUNCTION("C437*IMPORTRANGE(""https://docs.google.com/spreadsheets/d/1xsp01RMmkav9iTy39Zaj_7tE9677EGlOJ14KU9TZn7I"",""AC115"")"),793.3855002)</f>
        <v>793.38550020000002</v>
      </c>
      <c r="G443" s="61" t="s">
        <v>8</v>
      </c>
      <c r="K443" s="120"/>
      <c r="L443" s="3"/>
      <c r="M443" s="122"/>
      <c r="N443" s="122"/>
      <c r="O443" s="122"/>
      <c r="P443" s="122"/>
      <c r="Q443" s="2"/>
    </row>
    <row r="444" spans="1:17" ht="13.2" x14ac:dyDescent="0.25">
      <c r="A444" s="97">
        <v>45095</v>
      </c>
      <c r="B444" s="91">
        <v>76</v>
      </c>
      <c r="C444" s="75">
        <f>20070.9/1000</f>
        <v>20.070900000000002</v>
      </c>
      <c r="D444" s="98">
        <f ca="1">IFERROR(__xludf.DUMMYFUNCTION("C438*IMPORTRANGE(""https://docs.google.com/spreadsheets/d/1xsp01RMmkav9iTy39Zaj_7tE9677EGlOJ14KU9TZn7I/"",""H137"")"),17.2007613)</f>
        <v>17.2007613</v>
      </c>
      <c r="E444" s="98">
        <f ca="1">IFERROR(__xludf.DUMMYFUNCTION("C438*IMPORTRANGE(""https://docs.google.com/spreadsheets/d/1xsp01RMmkav9iTy39Zaj_7tE9677EGlOJ14KU9TZn7I"",""T137"")"),15.11539479)</f>
        <v>15.11539479</v>
      </c>
      <c r="F444" s="98">
        <f ca="1">IFERROR(__xludf.DUMMYFUNCTION("C438*IMPORTRANGE(""https://docs.google.com/spreadsheets/d/1xsp01RMmkav9iTy39Zaj_7tE9677EGlOJ14KU9TZn7I"",""AC137"")"),2209.7458773)</f>
        <v>2209.7458772999998</v>
      </c>
      <c r="G444" s="73" t="s">
        <v>8</v>
      </c>
      <c r="K444" s="120"/>
      <c r="L444" s="3"/>
      <c r="M444" s="122"/>
      <c r="N444" s="122"/>
      <c r="O444" s="122"/>
      <c r="P444" s="122"/>
      <c r="Q444" s="2"/>
    </row>
    <row r="445" spans="1:17" ht="13.2" x14ac:dyDescent="0.25">
      <c r="A445" s="95">
        <v>45125</v>
      </c>
      <c r="B445" s="90">
        <v>77</v>
      </c>
      <c r="C445" s="63">
        <f>31474/1000</f>
        <v>31.474</v>
      </c>
      <c r="D445" s="96">
        <f ca="1">IFERROR(__xludf.DUMMYFUNCTION("C439*IMPORTRANGE(""https://docs.google.com/spreadsheets/d/1xsp01RMmkav9iTy39Zaj_7tE9677EGlOJ14KU9TZn7I/)"",""H160"")"),26.9496124999999)</f>
        <v>26.949612499999901</v>
      </c>
      <c r="E445" s="96">
        <f ca="1">IFERROR(__xludf.DUMMYFUNCTION("C439*IMPORTRANGE(""https://docs.google.com/spreadsheets/d/1xsp01RMmkav9iTy39Zaj_7tE9677EGlOJ14KU9TZn7I"",""T160"")"),23.8667342)</f>
        <v>23.8667342</v>
      </c>
      <c r="F445" s="96">
        <f ca="1">IFERROR(__xludf.DUMMYFUNCTION("C439*IMPORTRANGE(""https://docs.google.com/spreadsheets/d/1xsp01RMmkav9iTy39Zaj_7tE9677EGlOJ14KU9TZn7I"",""AC160"")"),3494.353639)</f>
        <v>3494.3536389999999</v>
      </c>
      <c r="G445" s="61" t="s">
        <v>8</v>
      </c>
      <c r="K445" s="120"/>
      <c r="L445" s="3"/>
      <c r="M445" s="122"/>
      <c r="N445" s="122"/>
      <c r="O445" s="122"/>
      <c r="P445" s="122"/>
      <c r="Q445" s="2"/>
    </row>
    <row r="446" spans="1:17" ht="13.2" x14ac:dyDescent="0.25">
      <c r="A446" s="97">
        <v>45156</v>
      </c>
      <c r="B446" s="91">
        <v>84</v>
      </c>
      <c r="C446" s="75">
        <f>1865.9/1000</f>
        <v>1.8659000000000001</v>
      </c>
      <c r="D446" s="98">
        <f ca="1">IFERROR(__xludf.DUMMYFUNCTION("C440*IMPORTRANGE(""https://docs.google.com/spreadsheets/d/1xsp01RMmkav9iTy39Zaj_7tE9677EGlOJ14KU9TZn7I/"",""H184"")"),1.61176442)</f>
        <v>1.6117644200000001</v>
      </c>
      <c r="E446" s="98">
        <f ca="1">IFERROR(__xludf.DUMMYFUNCTION("C440*IMPORTRANGE(""https://docs.google.com/spreadsheets/d/1xsp01RMmkav9iTy39Zaj_7tE9677EGlOJ14KU9TZn7I"", ""T184"")"),1.44849817)</f>
        <v>1.4484981699999999</v>
      </c>
      <c r="F446" s="98">
        <f ca="1">IFERROR(__xludf.DUMMYFUNCTION("C440*IMPORTRANGE(""https://docs.google.com/spreadsheets/d/1xsp01RMmkav9iTy39Zaj_7tE9677EGlOJ14KU9TZn7I"",""AC184"")"),207.3705283)</f>
        <v>207.37052829999999</v>
      </c>
      <c r="G446" s="73" t="s">
        <v>8</v>
      </c>
      <c r="K446" s="120"/>
      <c r="L446" s="3"/>
      <c r="M446" s="122"/>
      <c r="N446" s="122"/>
      <c r="O446" s="122"/>
      <c r="P446" s="122"/>
      <c r="Q446" s="2"/>
    </row>
    <row r="447" spans="1:17" ht="13.2" x14ac:dyDescent="0.25">
      <c r="A447" s="95">
        <v>45187</v>
      </c>
      <c r="B447" s="90">
        <v>71</v>
      </c>
      <c r="C447" s="63">
        <f>3049.1/1000</f>
        <v>3.0490999999999997</v>
      </c>
      <c r="D447" s="96">
        <f ca="1">IFERROR(__xludf.DUMMYFUNCTION("C441*IMPORTRANGE(""https://docs.google.com/spreadsheets/d/1xsp01RMmkav9iTy39Zaj_7tE9677EGlOJ14KU9TZn7I/|"",""H205"")"),2.620335558)</f>
        <v>2.6203355579999998</v>
      </c>
      <c r="E447" s="96">
        <f ca="1">IFERROR(__xludf.DUMMYFUNCTION("C441*IMPORTRANGE(""https://docs.google.com/spreadsheets/d/1xsp01RMmkav9iTy39Zaj_7tE9677EGlOJ14KU9TZn7I"", ""T205"")"),2.33182971599999)</f>
        <v>2.3318297159999899</v>
      </c>
      <c r="F447" s="96">
        <f ca="1">IFERROR(__xludf.DUMMYFUNCTION("C441*IMPORTRANGE(""https://docs.google.com/spreadsheets/d/1xsp01RMmkav9iTy39Zaj_7tE9677EGlOJ14KU9TZn7I"",""AC205"")"),340.95493565)</f>
        <v>340.95493564999998</v>
      </c>
      <c r="G447" s="61" t="s">
        <v>8</v>
      </c>
      <c r="K447" s="120"/>
      <c r="L447" s="3"/>
      <c r="M447" s="122"/>
      <c r="N447" s="122"/>
      <c r="O447" s="122"/>
      <c r="P447" s="122"/>
      <c r="Q447" s="2"/>
    </row>
    <row r="448" spans="1:17" ht="13.2" x14ac:dyDescent="0.25">
      <c r="A448" s="97">
        <v>45217</v>
      </c>
      <c r="B448" s="91">
        <v>71</v>
      </c>
      <c r="C448" s="75">
        <f>2927.2/1000</f>
        <v>2.9272</v>
      </c>
      <c r="D448" s="98">
        <f ca="1">IFERROR(__xludf.DUMMYFUNCTION("C442*IMPORTRANGE(""https://docs.google.com/spreadsheets/d/1xsp01RMmkav9iTy39Zaj_7tE9677EGlOJ14KU9TZn7I/"",""H229"")"),2.543853888)</f>
        <v>2.5438538880000001</v>
      </c>
      <c r="E448" s="98">
        <f ca="1">IFERROR(__xludf.DUMMYFUNCTION("C442*IMPORTRANGE(""https://docs.google.com/spreadsheets/d/1xsp01RMmkav9iTy39Zaj_7tE9677EGlOJ14KU9TZn7I"",""T229"")"),2.24384516)</f>
        <v>2.2438451599999998</v>
      </c>
      <c r="F448" s="98">
        <f ca="1">IFERROR(__xludf.DUMMYFUNCTION("C442*IMPORTRANGE(""https://docs.google.com/spreadsheets/d/1xsp01RMmkav9iTy39Zaj_7tE9677EGlOJ14KU9TZn7I"",""AC229"")"),329.251456)</f>
        <v>329.25145600000002</v>
      </c>
      <c r="G448" s="73" t="s">
        <v>8</v>
      </c>
      <c r="K448" s="120"/>
      <c r="L448" s="3"/>
      <c r="M448" s="122"/>
      <c r="N448" s="122"/>
      <c r="O448" s="122"/>
      <c r="P448" s="122"/>
      <c r="Q448" s="2"/>
    </row>
    <row r="449" spans="1:17" ht="13.2" x14ac:dyDescent="0.25">
      <c r="A449" s="95">
        <v>45248</v>
      </c>
      <c r="B449" s="90">
        <v>79</v>
      </c>
      <c r="C449" s="63">
        <f>4664.4/1000</f>
        <v>4.6643999999999997</v>
      </c>
      <c r="D449" s="96">
        <f ca="1">IFERROR(__xludf.DUMMYFUNCTION("C443*IMPORTRANGE(""https://docs.google.com/spreadsheets/d/1xsp01RMmkav9iTy39Zaj_7tE9677EGlOJ14KU9TZn7I/"",""H252"")"),4.102199868)</f>
        <v>4.1021998679999996</v>
      </c>
      <c r="E449" s="96">
        <f ca="1">IFERROR(__xludf.DUMMYFUNCTION("C443*IMPORTRANGE(""https://docs.google.com/spreadsheets/d/1xsp01RMmkav9iTy39Zaj_7tE9677EGlOJ14KU9TZn7I"", ""T252"")"),3.62738727)</f>
        <v>3.6273872699999998</v>
      </c>
      <c r="F449" s="96">
        <f ca="1">IFERROR(__xludf.DUMMYFUNCTION("C443*IMPORTRANGE(""https://docs.google.com/spreadsheets/d/1xsp01RMmkav9iTy39Zaj_7tE9677EGlOJ14KU9TZn7I"",""AC252"")"),528.8823228)</f>
        <v>528.8823228</v>
      </c>
      <c r="G449" s="61" t="s">
        <v>8</v>
      </c>
      <c r="K449" s="120"/>
      <c r="L449" s="3"/>
      <c r="M449" s="122"/>
      <c r="N449" s="122"/>
      <c r="O449" s="122"/>
      <c r="P449" s="122"/>
      <c r="Q449" s="2"/>
    </row>
    <row r="450" spans="1:17" ht="13.2" x14ac:dyDescent="0.25">
      <c r="A450" s="99">
        <v>45278</v>
      </c>
      <c r="B450" s="92">
        <v>116</v>
      </c>
      <c r="C450" s="79">
        <f>5791.5/1000</f>
        <v>5.7915000000000001</v>
      </c>
      <c r="D450" s="100">
        <f ca="1">IFERROR(__xludf.DUMMYFUNCTION("C444*IMPORTRANGE(""https://docs.google.com/spreadsheets/d/1xsp01RMmkav9iTy39Zaj_7tE9677EGlOJ14KU9TZn7I/"",""H273"")"),5.092408035)</f>
        <v>5.0924080350000001</v>
      </c>
      <c r="E450" s="100">
        <f ca="1">IFERROR(__xludf.DUMMYFUNCTION("C444*IMPORTRANGE(""https://docs.google.com/spreadsheets/d/1xsp01RMmkav9iTy39Zaj_7tE9677EGlOJ14KU9TZn7I"", ""T273"")"),4.5764433)</f>
        <v>4.5764433000000002</v>
      </c>
      <c r="F450" s="100">
        <f ca="1">IFERROR(__xludf.DUMMYFUNCTION("C444*IMPORTRANGE(""https://docs.google.com/spreadsheets/d/1xsp01RMmkav9iTy39Zaj_7tE9677EGlOJ14KU9TZn7I"",""AC273"")"),652.6383435)</f>
        <v>652.63834350000002</v>
      </c>
      <c r="G450" s="77" t="s">
        <v>8</v>
      </c>
      <c r="K450" s="120"/>
      <c r="L450" s="3"/>
      <c r="M450" s="122"/>
      <c r="N450" s="122"/>
      <c r="O450" s="122"/>
      <c r="P450" s="122"/>
      <c r="Q450" s="2"/>
    </row>
    <row r="451" spans="1:17" ht="13.2" x14ac:dyDescent="0.25">
      <c r="A451" s="58">
        <v>2019</v>
      </c>
      <c r="B451" s="59"/>
      <c r="C451" s="93"/>
      <c r="D451" s="93"/>
      <c r="E451" s="93"/>
      <c r="F451" s="93"/>
      <c r="G451" s="58"/>
      <c r="K451" s="2"/>
      <c r="L451" s="3"/>
      <c r="M451" s="2"/>
      <c r="N451" s="122"/>
      <c r="O451" s="122"/>
      <c r="P451" s="122"/>
      <c r="Q451" s="2"/>
    </row>
    <row r="452" spans="1:17" ht="13.2" x14ac:dyDescent="0.25">
      <c r="A452" s="95">
        <v>43484</v>
      </c>
      <c r="B452" s="90">
        <v>76</v>
      </c>
      <c r="C452" s="63">
        <f>1577/1000</f>
        <v>1.577</v>
      </c>
      <c r="D452" s="96">
        <f ca="1">IFERROR(__xludf.DUMMYFUNCTION("C446*IMPORTRANGE(""https://docs.google.com/spreadsheets/d/1xsp01RMmkav9iTy39Zaj_7tE9677EGlOJ14KU9TZn7I/"",""H298"")"),1.3812943)</f>
        <v>1.3812943</v>
      </c>
      <c r="E452" s="96">
        <f ca="1">IFERROR(__xludf.DUMMYFUNCTION("C446*IMPORTRANGE(""https://docs.google.com/spreadsheets/d/1xsp01RMmkav9iTy39Zaj_7tE9677EGlOJ14KU9TZn7I"",""T298"")"),1.22512399)</f>
        <v>1.2251239899999999</v>
      </c>
      <c r="F452" s="96">
        <f ca="1">IFERROR(__xludf.DUMMYFUNCTION("C446*IMPORTRANGE(""https://docs.google.com/spreadsheets/d/1xsp01RMmkav9iTy39Zaj_7tE9677EGlOJ14KU9TZn7I"",""AC298"")"),171.951349)</f>
        <v>171.95134899999999</v>
      </c>
      <c r="G452" s="61" t="s">
        <v>8</v>
      </c>
    </row>
    <row r="453" spans="1:17" ht="13.2" x14ac:dyDescent="0.25">
      <c r="A453" s="97">
        <v>43515</v>
      </c>
      <c r="B453" s="91">
        <v>70</v>
      </c>
      <c r="C453" s="75">
        <f>2460.6/1000</f>
        <v>2.4605999999999999</v>
      </c>
      <c r="D453" s="98">
        <f ca="1">IFERROR(__xludf.DUMMYFUNCTION("C447*IMPORTRANGE(""https://docs.google.com/spreadsheets/d/1xsp01RMmkav9iTy39Zaj_7tE9677EGlOJ14KU9TZn7I"",""H319"")"),2.16926496)</f>
        <v>2.16926496</v>
      </c>
      <c r="E453" s="98">
        <f ca="1">IFERROR(__xludf.DUMMYFUNCTION("C447*IMPORTRANGE(""https://docs.google.com/spreadsheets/d/1xsp01RMmkav9iTy39Zaj_7tE9677EGlOJ14KU9TZn7I"",""T319"")"),1.89364085099999)</f>
        <v>1.89364085099999</v>
      </c>
      <c r="F453" s="98">
        <f ca="1">IFERROR(__xludf.DUMMYFUNCTION("C447*IMPORTRANGE(""https://docs.google.com/spreadsheets/d/1xsp01RMmkav9iTy39Zaj_7tE9677EGlOJ14KU9TZn7I"",""AC319"")"),272.0119482)</f>
        <v>272.01194820000001</v>
      </c>
      <c r="G453" s="73" t="s">
        <v>8</v>
      </c>
    </row>
    <row r="454" spans="1:17" ht="13.2" x14ac:dyDescent="0.25">
      <c r="A454" s="95">
        <v>43543</v>
      </c>
      <c r="B454" s="90">
        <v>91</v>
      </c>
      <c r="C454" s="63">
        <f>3012.2/1000</f>
        <v>3.0122</v>
      </c>
      <c r="D454" s="96">
        <f ca="1">IFERROR(__xludf.DUMMYFUNCTION("C448*IMPORTRANGE(""https://docs.google.com/spreadsheets/d/1xsp01RMmkav9iTy39Zaj_7tE9677EGlOJ14KU9TZn7I"",""H341"")"),2.662363092)</f>
        <v>2.6623630920000001</v>
      </c>
      <c r="E454" s="96">
        <f ca="1">IFERROR(__xludf.DUMMYFUNCTION("C448*IMPORTRANGE(""https://docs.google.com/spreadsheets/d/1xsp01RMmkav9iTy39Zaj_7tE9677EGlOJ14KU9TZn7I"",""T341"")"),2.28083784)</f>
        <v>2.2808378399999998</v>
      </c>
      <c r="F454" s="96">
        <f ca="1">IFERROR(__xludf.DUMMYFUNCTION("C448*IMPORTRANGE(""https://docs.google.com/spreadsheets/d/1xsp01RMmkav9iTy39Zaj_7tE9677EGlOJ14KU9TZn7I"",""AC341"")"),335.3843724)</f>
        <v>335.38437240000002</v>
      </c>
      <c r="G454" s="61" t="s">
        <v>8</v>
      </c>
    </row>
    <row r="455" spans="1:17" ht="13.2" x14ac:dyDescent="0.25">
      <c r="A455" s="97">
        <v>43574</v>
      </c>
      <c r="B455" s="91">
        <v>78</v>
      </c>
      <c r="C455" s="75">
        <f>7543.1/1000</f>
        <v>7.5431000000000008</v>
      </c>
      <c r="D455" s="98">
        <f ca="1">IFERROR(__xludf.DUMMYFUNCTION("C449*IMPORTRANGE(""https://docs.google.com/spreadsheets/d/1xsp01RMmkav9iTy39Zaj_7tE9677EGlOJ14KU9TZn7I"",""H364"")"),6.710794346)</f>
        <v>6.7107943460000001</v>
      </c>
      <c r="E455" s="98">
        <f ca="1">IFERROR(__xludf.DUMMYFUNCTION("C449*IMPORTRANGE(""https://docs.google.com/spreadsheets/d/1xsp01RMmkav9iTy39Zaj_7tE9677EGlOJ14KU9TZn7I"",""T364"")"),5.7833324855)</f>
        <v>5.7833324854999999</v>
      </c>
      <c r="F455" s="98">
        <f ca="1">IFERROR(__xludf.DUMMYFUNCTION("C449*IMPORTRANGE(""https://docs.google.com/spreadsheets/d/1xsp01RMmkav9iTy39Zaj_7tE9677EGlOJ14KU9TZn7I"",""AC364"")"),842.31911925)</f>
        <v>842.31911924999997</v>
      </c>
      <c r="G455" s="73" t="s">
        <v>8</v>
      </c>
    </row>
    <row r="456" spans="1:17" ht="13.2" x14ac:dyDescent="0.25">
      <c r="A456" s="101">
        <v>43604</v>
      </c>
      <c r="B456" s="90">
        <v>62</v>
      </c>
      <c r="C456" s="63">
        <f>2531.3/1000</f>
        <v>2.5313000000000003</v>
      </c>
      <c r="D456" s="96">
        <f ca="1">IFERROR(__xludf.DUMMYFUNCTION("C450*IMPORTRANGE(""https://docs.google.com/spreadsheets/d/1xsp01RMmkav9iTy39Zaj_7tE9677EGlOJ14KU9TZn7I"",""H388"")"),2.261615298)</f>
        <v>2.2616152980000002</v>
      </c>
      <c r="E456" s="96">
        <f ca="1">IFERROR(__xludf.DUMMYFUNCTION("C450*IMPORTRANGE(""https://docs.google.com/spreadsheets/d/1xsp01RMmkav9iTy39Zaj_7tE9677EGlOJ14KU9TZn7I"",""T388"")"),1.965756954)</f>
        <v>1.9657569539999999</v>
      </c>
      <c r="F456" s="96">
        <f ca="1">IFERROR(__xludf.DUMMYFUNCTION("C450*IMPORTRANGE(""https://docs.google.com/spreadsheets/d/1xsp01RMmkav9iTy39Zaj_7tE9677EGlOJ14KU9TZn7I"",""AC388"")"),278.0354607)</f>
        <v>278.03546069999999</v>
      </c>
      <c r="G456" s="61" t="s">
        <v>8</v>
      </c>
    </row>
    <row r="457" spans="1:17" ht="13.2" x14ac:dyDescent="0.25">
      <c r="A457" s="97">
        <v>43635</v>
      </c>
      <c r="B457" s="91">
        <v>65</v>
      </c>
      <c r="C457" s="75">
        <f>1397.7/1000</f>
        <v>1.3976999999999999</v>
      </c>
      <c r="D457" s="98">
        <f ca="1">IFERROR(__xludf.DUMMYFUNCTION("C451*IMPORTRANGE(""https://docs.google.com/spreadsheets/d/1xsp01RMmkav9iTy39Zaj_7tE9677EGlOJ14KU9TZn7I"",""H409"")"),1.2382154415)</f>
        <v>1.2382154415</v>
      </c>
      <c r="E457" s="98">
        <f ca="1">IFERROR(__xludf.DUMMYFUNCTION("C451*IMPORTRANGE(""https://docs.google.com/spreadsheets/d/1xsp01RMmkav9iTy39Zaj_7tE9677EGlOJ14KU9TZn7I"",""T409"")"),1.1013386805)</f>
        <v>1.1013386805000001</v>
      </c>
      <c r="F457" s="98">
        <f ca="1">IFERROR(__xludf.DUMMYFUNCTION("C451*IMPORTRANGE(""https://docs.google.com/spreadsheets/d/1xsp01RMmkav9iTy39Zaj_7tE9677EGlOJ14KU9TZn7I"",""AC409"")"),151.353438749999)</f>
        <v>151.35343874999899</v>
      </c>
      <c r="G457" s="73" t="s">
        <v>8</v>
      </c>
    </row>
    <row r="458" spans="1:17" ht="13.2" x14ac:dyDescent="0.25">
      <c r="A458" s="95">
        <v>43665</v>
      </c>
      <c r="B458" s="90">
        <v>68</v>
      </c>
      <c r="C458" s="63">
        <f>3685.9/1000</f>
        <v>3.6859000000000002</v>
      </c>
      <c r="D458" s="96">
        <f ca="1">IFERROR(__xludf.DUMMYFUNCTION("C452*IMPORTRANGE(""https://docs.google.com/spreadsheets/d/1xsp01RMmkav9iTy39Zaj_7tE9677EGlOJ14KU9TZn7I"",""H433"")"),3.282957412)</f>
        <v>3.282957412</v>
      </c>
      <c r="E458" s="96">
        <f ca="1">IFERROR(__xludf.DUMMYFUNCTION("C452*IMPORTRANGE(""https://docs.google.com/spreadsheets/d/1xsp01RMmkav9iTy39Zaj_7tE9677EGlOJ14KU9TZn7I"",""T433"")"),2.945697562)</f>
        <v>2.9456975619999999</v>
      </c>
      <c r="F458" s="96">
        <f ca="1">IFERROR(__xludf.DUMMYFUNCTION("C452*IMPORTRANGE(""https://docs.google.com/spreadsheets/d/1xsp01RMmkav9iTy39Zaj_7tE9677EGlOJ14KU9TZn7I"",""AC433"")"),398.9323288)</f>
        <v>398.93232879999999</v>
      </c>
      <c r="G458" s="61" t="s">
        <v>8</v>
      </c>
    </row>
    <row r="459" spans="1:17" ht="13.2" x14ac:dyDescent="0.25">
      <c r="A459" s="97">
        <v>43696</v>
      </c>
      <c r="B459" s="91">
        <v>78</v>
      </c>
      <c r="C459" s="75">
        <f>11661.4/1000</f>
        <v>11.6614</v>
      </c>
      <c r="D459" s="98">
        <f ca="1">IFERROR(__xludf.DUMMYFUNCTION("C453*IMPORTRANGE(""https://docs.google.com/spreadsheets/d/1xsp01RMmkav9iTy39Zaj_7tE9677EGlOJ14KU9TZn7I"",""H456"")"),10.500216095)</f>
        <v>10.500216095000001</v>
      </c>
      <c r="E459" s="98">
        <f ca="1">IFERROR(__xludf.DUMMYFUNCTION("C453*IMPORTRANGE(""https://docs.google.com/spreadsheets/d/1xsp01RMmkav9iTy39Zaj_7tE9677EGlOJ14KU9TZn7I"",""T456"")"),9.595524683)</f>
        <v>9.5955246830000007</v>
      </c>
      <c r="F459" s="98">
        <f ca="1">IFERROR(__xludf.DUMMYFUNCTION("C453*IMPORTRANGE(""https://docs.google.com/spreadsheets/d/1xsp01RMmkav9iTy39Zaj_7tE9677EGlOJ14KU9TZn7I"",""AC456"")"),1238.4115265)</f>
        <v>1238.4115265</v>
      </c>
      <c r="G459" s="73" t="s">
        <v>8</v>
      </c>
    </row>
    <row r="460" spans="1:17" ht="13.2" x14ac:dyDescent="0.25">
      <c r="A460" s="95">
        <v>43727</v>
      </c>
      <c r="B460" s="90">
        <v>69</v>
      </c>
      <c r="C460" s="63">
        <f>2576.1/1000</f>
        <v>2.5760999999999998</v>
      </c>
      <c r="D460" s="96">
        <f ca="1">IFERROR(__xludf.DUMMYFUNCTION("C454*IMPORTRANGE(""https://docs.google.com/spreadsheets/d/1xsp01RMmkav9iTy39Zaj_7tE9677EGlOJ14KU9TZn7I"",""H478"")"),2.33786227199999)</f>
        <v>2.33786227199999</v>
      </c>
      <c r="E460" s="96">
        <f ca="1">IFERROR(__xludf.DUMMYFUNCTION("C454*IMPORTRANGE(""https://docs.google.com/spreadsheets/d/1xsp01RMmkav9iTy39Zaj_7tE9677EGlOJ14KU9TZn7I"",""T478"")"),2.086692522)</f>
        <v>2.0866925219999999</v>
      </c>
      <c r="F460" s="96">
        <f ca="1">IFERROR(__xludf.DUMMYFUNCTION("C454*IMPORTRANGE(""https://docs.google.com/spreadsheets/d/1xsp01RMmkav9iTy39Zaj_7tE9677EGlOJ14KU9TZn7I"",""AC478"")"),277.3223172)</f>
        <v>277.32231719999999</v>
      </c>
      <c r="G460" s="61" t="s">
        <v>8</v>
      </c>
    </row>
    <row r="461" spans="1:17" ht="13.2" x14ac:dyDescent="0.25">
      <c r="A461" s="97">
        <v>44123</v>
      </c>
      <c r="B461" s="91">
        <v>62</v>
      </c>
      <c r="C461" s="75">
        <f>1677.8/1000</f>
        <v>1.6778</v>
      </c>
      <c r="D461" s="98">
        <f ca="1">IFERROR(__xludf.DUMMYFUNCTION("C455*IMPORTRANGE("" https://docs.google.com/spreadsheets/d/1xsp01RMmkav9iTy39Zaj_7tE9677EGlOJ14KU9TZn7I"", ""H502"")"),1.520472694)</f>
        <v>1.520472694</v>
      </c>
      <c r="E461" s="98">
        <f ca="1">IFERROR(__xludf.DUMMYFUNCTION("C455*IMPORTRANGE(""https://docs.google.com/spreadsheets/d/1xsp01RMmkav9iTy39Zaj_7tE9677EGlOJ14KU9TZn7I"",""T502"")"),1.314824748)</f>
        <v>1.3148247479999999</v>
      </c>
      <c r="F461" s="98">
        <f ca="1">IFERROR(__xludf.DUMMYFUNCTION("C455*IMPORTRANGE(""https://docs.google.com/spreadsheets/d/1xsp01RMmkav9iTy39Zaj_7tE9677EGlOJ14KU9TZn7I"",""AC502"")"),181.9725102)</f>
        <v>181.97251019999999</v>
      </c>
      <c r="G461" s="73" t="s">
        <v>8</v>
      </c>
    </row>
    <row r="462" spans="1:17" ht="13.2" x14ac:dyDescent="0.25">
      <c r="A462" s="95">
        <v>43788</v>
      </c>
      <c r="B462" s="90">
        <v>70</v>
      </c>
      <c r="C462" s="63">
        <f>9475.3/1000</f>
        <v>9.4752999999999989</v>
      </c>
      <c r="D462" s="96">
        <f ca="1">IFERROR(__xludf.DUMMYFUNCTION("C456*IMPORTRANGE(""https://docs.google.com/spreadsheets/d/1xsp01RMmkav9iTy39Zaj_7tE9677EGlOJ14KU9TZn7I"",""H524"")"),8.58623260099999)</f>
        <v>8.5862326009999901</v>
      </c>
      <c r="E462" s="96">
        <f ca="1">IFERROR(__xludf.DUMMYFUNCTION("C456*IMPORTRANGE(""https://docs.google.com/spreadsheets/d/1xsp01RMmkav9iTy39Zaj_7tE9677EGlOJ14KU9TZn7I"",""T524"")"),7.34999020999999)</f>
        <v>7.3499902099999899</v>
      </c>
      <c r="F462" s="96">
        <f ca="1">IFERROR(__xludf.DUMMYFUNCTION("C456*IMPORTRANGE(""https://docs.google.com/spreadsheets/d/1xsp01RMmkav9iTy39Zaj_7tE9677EGlOJ14KU9TZn7I"",""AC524"")"),1030.89368939999)</f>
        <v>1030.8936893999901</v>
      </c>
      <c r="G462" s="61" t="s">
        <v>8</v>
      </c>
    </row>
    <row r="463" spans="1:17" ht="13.2" x14ac:dyDescent="0.25">
      <c r="A463" s="99">
        <v>43818</v>
      </c>
      <c r="B463" s="92">
        <v>77</v>
      </c>
      <c r="C463" s="79">
        <f>923.2/1000</f>
        <v>0.92320000000000002</v>
      </c>
      <c r="D463" s="100">
        <f ca="1">IFERROR(__xludf.DUMMYFUNCTION("C457*IMPORTRANGE(""https://docs.google.com/spreadsheets/d/1xsp01RMmkav9iTy39Zaj_7tE9677EGlOJ14KU9TZn7I"",""H547"")"),0.831840128)</f>
        <v>0.83184012799999996</v>
      </c>
      <c r="E463" s="100">
        <f ca="1">IFERROR(__xludf.DUMMYFUNCTION("C457*IMPORTRANGE(""https://docs.google.com/spreadsheets/d/1xsp01RMmkav9iTy39Zaj_7tE9677EGlOJ14KU9TZn7I"",""T547"")"),0.704646248)</f>
        <v>0.70464624799999998</v>
      </c>
      <c r="F463" s="100">
        <f ca="1">IFERROR(__xludf.DUMMYFUNCTION("C457*IMPORTRANGE(""https://docs.google.com/spreadsheets/d/1xsp01RMmkav9iTy39Zaj_7tE9677EGlOJ14KU9TZn7I"",""AC547"")"),100.981923999999)</f>
        <v>100.981923999999</v>
      </c>
      <c r="G463" s="77" t="s">
        <v>8</v>
      </c>
    </row>
    <row r="464" spans="1:17" ht="13.2" x14ac:dyDescent="0.25">
      <c r="A464" s="58">
        <v>2020</v>
      </c>
      <c r="B464" s="59"/>
      <c r="C464" s="93"/>
      <c r="D464" s="93"/>
      <c r="E464" s="93"/>
      <c r="F464" s="93"/>
      <c r="G464" s="58"/>
    </row>
    <row r="465" spans="1:7" ht="13.2" x14ac:dyDescent="0.25">
      <c r="A465" s="95">
        <v>43850</v>
      </c>
      <c r="B465" s="90">
        <v>68</v>
      </c>
      <c r="C465" s="63">
        <f>1112.2/1000</f>
        <v>1.1122000000000001</v>
      </c>
      <c r="D465" s="96">
        <f ca="1">IFERROR(__xludf.DUMMYFUNCTION("C459*IMPORTRANGE(""https://docs.google.com/spreadsheets/d/1xsp01RMmkav9iTy39Zaj_7tE9677EGlOJ14KU9TZn7I"",""H572"")"),1.000790926)</f>
        <v>1.0007909260000001</v>
      </c>
      <c r="E465" s="96">
        <f ca="1">IFERROR(__xludf.DUMMYFUNCTION("C459*IMPORTRANGE(""https://docs.google.com/spreadsheets/d/1xsp01RMmkav9iTy39Zaj_7tE9677EGlOJ14KU9TZn7I"",""T572"")"),0.85094422)</f>
        <v>0.85094422000000003</v>
      </c>
      <c r="F465" s="96">
        <f ca="1">IFERROR(__xludf.DUMMYFUNCTION("C459*IMPORTRANGE(""https://docs.google.com/spreadsheets/d/1xsp01RMmkav9iTy39Zaj_7tE9677EGlOJ14KU9TZn7I"",""AC572"")"),121.3766104)</f>
        <v>121.3766104</v>
      </c>
      <c r="G465" s="61" t="s">
        <v>8</v>
      </c>
    </row>
    <row r="466" spans="1:7" ht="13.2" x14ac:dyDescent="0.25">
      <c r="A466" s="97">
        <v>43881</v>
      </c>
      <c r="B466" s="91">
        <v>62</v>
      </c>
      <c r="C466" s="75">
        <f>2769.3/1000</f>
        <v>2.7693000000000003</v>
      </c>
      <c r="D466" s="98">
        <f ca="1">IFERROR(__xludf.DUMMYFUNCTION("C460*IMPORTRANGE(""https://docs.google.com/spreadsheets/d/1xsp01RMmkav9iTy39Zaj_7tE9677EGlOJ14KU9TZn7I"",""H593"")"),2.5443913005)</f>
        <v>2.5443913005000001</v>
      </c>
      <c r="E466" s="98">
        <f ca="1">IFERROR(__xludf.DUMMYFUNCTION("C460*IMPORTRANGE(""https://docs.google.com/spreadsheets/d/1xsp01RMmkav9iTy39Zaj_7tE9677EGlOJ14KU9TZn7I"",""T593"")"),2.137290354)</f>
        <v>2.1372903540000001</v>
      </c>
      <c r="F466" s="98">
        <f ca="1">IFERROR(__xludf.DUMMYFUNCTION("C460*IMPORTRANGE(""https://docs.google.com/spreadsheets/d/1xsp01RMmkav9iTy39Zaj_7tE9677EGlOJ14KU9TZn7I"",""AC593"")"),304.17021945)</f>
        <v>304.17021944999999</v>
      </c>
      <c r="G466" s="73" t="s">
        <v>8</v>
      </c>
    </row>
    <row r="467" spans="1:7" ht="13.2" x14ac:dyDescent="0.25">
      <c r="A467" s="95">
        <v>43910</v>
      </c>
      <c r="B467" s="90">
        <v>68</v>
      </c>
      <c r="C467" s="63">
        <f>2324.9/1000</f>
        <v>2.3249</v>
      </c>
      <c r="D467" s="96">
        <f ca="1">IFERROR(__xludf.DUMMYFUNCTION("C461*IMPORTRANGE(""https://docs.google.com/spreadsheets/d/1xsp01RMmkav9iTy39Zaj_7tE9677EGlOJ14KU9TZn7I"",""H616"")"),2.08715572599999)</f>
        <v>2.08715572599999</v>
      </c>
      <c r="E467" s="96">
        <f ca="1">IFERROR(__xludf.DUMMYFUNCTION("C461*IMPORTRANGE(""https://docs.google.com/spreadsheets/d/1xsp01RMmkav9iTy39Zaj_7tE9677EGlOJ14KU9TZn7I"",""T616"")"),1.87092607659999)</f>
        <v>1.87092607659999</v>
      </c>
      <c r="F467" s="96">
        <f ca="1">IFERROR(__xludf.DUMMYFUNCTION("C461*IMPORTRANGE(""https://docs.google.com/spreadsheets/d/1xsp01RMmkav9iTy39Zaj_7tE9677EGlOJ14KU9TZn7I"",""AC616"")"),250.0313705)</f>
        <v>250.03137050000001</v>
      </c>
      <c r="G467" s="61" t="s">
        <v>8</v>
      </c>
    </row>
    <row r="468" spans="1:7" ht="13.2" x14ac:dyDescent="0.25">
      <c r="A468" s="97">
        <v>43941</v>
      </c>
      <c r="B468" s="91">
        <v>48</v>
      </c>
      <c r="C468" s="75">
        <f>956/1000</f>
        <v>0.95599999999999996</v>
      </c>
      <c r="D468" s="98">
        <f ca="1">IFERROR(__xludf.DUMMYFUNCTION("C462*IMPORTRANGE(""https://docs.google.com/spreadsheets/d/1xsp01RMmkav9iTy39Zaj_7tE9677EGlOJ14KU9TZn7I"",""H639"")"),0.879950199999999)</f>
        <v>0.87995019999999902</v>
      </c>
      <c r="E468" s="98">
        <f ca="1">IFERROR(__xludf.DUMMYFUNCTION("C462*IMPORTRANGE(""https://docs.google.com/spreadsheets/d/1xsp01RMmkav9iTy39Zaj_7tE9677EGlOJ14KU9TZn7I"",""T639"")"),0.77000064)</f>
        <v>0.77000064000000001</v>
      </c>
      <c r="F468" s="98">
        <f ca="1">IFERROR(__xludf.DUMMYFUNCTION("C462*IMPORTRANGE(""https://docs.google.com/spreadsheets/d/1xsp01RMmkav9iTy39Zaj_7tE9677EGlOJ14KU9TZn7I"",""AC639"")"),102.932042)</f>
        <v>102.932042</v>
      </c>
      <c r="G468" s="73" t="s">
        <v>8</v>
      </c>
    </row>
    <row r="469" spans="1:7" ht="13.2" x14ac:dyDescent="0.25">
      <c r="A469" s="101">
        <v>43971</v>
      </c>
      <c r="B469" s="90">
        <v>61</v>
      </c>
      <c r="C469" s="63">
        <f>1191.3/1000</f>
        <v>1.1913</v>
      </c>
      <c r="D469" s="96">
        <f ca="1">IFERROR(__xludf.DUMMYFUNCTION("C463*IMPORTRANGE(""https://docs.google.com/spreadsheets/d/1xsp01RMmkav9iTy39Zaj_7tE9677EGlOJ14KU9TZn7I"",""H661"")"),1.092505491)</f>
        <v>1.0925054910000001</v>
      </c>
      <c r="E469" s="96">
        <f ca="1">IFERROR(__xludf.DUMMYFUNCTION("C463*IMPORTRANGE(""https://docs.google.com/spreadsheets/d/1xsp01RMmkav9iTy39Zaj_7tE9677EGlOJ14KU9TZn7I"",""T661"")"),0.971314542)</f>
        <v>0.971314542</v>
      </c>
      <c r="F469" s="96">
        <f ca="1">IFERROR(__xludf.DUMMYFUNCTION("C463*IMPORTRANGE(""https://docs.google.com/spreadsheets/d/1xsp01RMmkav9iTy39Zaj_7tE9677EGlOJ14KU9TZn7I"",""AC661"")"),127.9039245)</f>
        <v>127.9039245</v>
      </c>
      <c r="G469" s="61" t="s">
        <v>8</v>
      </c>
    </row>
    <row r="470" spans="1:7" ht="13.2" x14ac:dyDescent="0.25">
      <c r="A470" s="97">
        <v>44002</v>
      </c>
      <c r="B470" s="91">
        <v>65</v>
      </c>
      <c r="C470" s="75">
        <f>8051/1000</f>
        <v>8.0510000000000002</v>
      </c>
      <c r="D470" s="98">
        <f ca="1">IFERROR(__xludf.DUMMYFUNCTION("C464*IMPORTRANGE(""https://docs.google.com/spreadsheets/d/1xsp01RMmkav9iTy39Zaj_7tE9677EGlOJ14KU9TZn7I"",""H684"")"),7.155527525)</f>
        <v>7.1555275250000001</v>
      </c>
      <c r="E470" s="98">
        <f ca="1">IFERROR(__xludf.DUMMYFUNCTION("C464*IMPORTRANGE(""https://docs.google.com/spreadsheets/d/1xsp01RMmkav9iTy39Zaj_7tE9677EGlOJ14KU9TZn7I"",""T684"")"),6.420873775)</f>
        <v>6.4208737749999996</v>
      </c>
      <c r="F470" s="98">
        <f ca="1">IFERROR(__xludf.DUMMYFUNCTION("C464*IMPORTRANGE(""https://docs.google.com/spreadsheets/d/1xsp01RMmkav9iTy39Zaj_7tE9677EGlOJ14KU9TZn7I"",""AC684"")"),864.3593855)</f>
        <v>864.35938550000003</v>
      </c>
      <c r="G470" s="73" t="s">
        <v>8</v>
      </c>
    </row>
    <row r="471" spans="1:7" ht="13.2" x14ac:dyDescent="0.25">
      <c r="A471" s="95">
        <v>44397</v>
      </c>
      <c r="B471" s="90">
        <v>66</v>
      </c>
      <c r="C471" s="63">
        <f>984.9/1000</f>
        <v>0.9849</v>
      </c>
      <c r="D471" s="96">
        <f ca="1">IFERROR(__xludf.DUMMYFUNCTION("C465*IMPORTRANGE(""https://docs.google.com/spreadsheets/d/1xsp01RMmkav9iTy39Zaj_7tE9677EGlOJ14KU9TZn7I"",""H708"")"),0.863136813)</f>
        <v>0.863136813</v>
      </c>
      <c r="E471" s="96">
        <f ca="1">IFERROR(__xludf.DUMMYFUNCTION("C465*IMPORTRANGE(""https://docs.google.com/spreadsheets/d/1xsp01RMmkav9iTy39Zaj_7tE9677EGlOJ14KU9TZn7I"",""T708"")"),0.781350717)</f>
        <v>0.78135071700000003</v>
      </c>
      <c r="F471" s="96">
        <f ca="1">IFERROR(__xludf.DUMMYFUNCTION("C465*IMPORTRANGE(""https://docs.google.com/spreadsheets/d/1xsp01RMmkav9iTy39Zaj_7tE9677EGlOJ14KU9TZn7I"",""AC708"")"),105.5773404)</f>
        <v>105.5773404</v>
      </c>
      <c r="G471" s="61" t="s">
        <v>8</v>
      </c>
    </row>
    <row r="472" spans="1:7" ht="13.2" x14ac:dyDescent="0.25">
      <c r="A472" s="97">
        <v>44428</v>
      </c>
      <c r="B472" s="91">
        <v>48</v>
      </c>
      <c r="C472" s="75">
        <f>1701.4/1000</f>
        <v>1.7014</v>
      </c>
      <c r="D472" s="98">
        <f ca="1">IFERROR(__xludf.DUMMYFUNCTION("C466*IMPORTRANGE(""https://docs.google.com/spreadsheets/d/1xsp01RMmkav9iTy39Zaj_7tE9677EGlOJ14KU9TZn7I"",""H730"")"),1.43946947)</f>
        <v>1.4394694699999999</v>
      </c>
      <c r="E472" s="98">
        <f ca="1">IFERROR(__xludf.DUMMYFUNCTION("C466*IMPORTRANGE(""https://docs.google.com/spreadsheets/d/1xsp01RMmkav9iTy39Zaj_7tE9677EGlOJ14KU9TZn7I"",""T730"")"),1.2980848314)</f>
        <v>1.2980848314</v>
      </c>
      <c r="F472" s="98">
        <f ca="1">IFERROR(__xludf.DUMMYFUNCTION("C466*IMPORTRANGE(""https://docs.google.com/spreadsheets/d/1xsp01RMmkav9iTy39Zaj_7tE9677EGlOJ14KU9TZn7I"",""AC730"")"),180.3347888)</f>
        <v>180.33478880000001</v>
      </c>
      <c r="G472" s="73" t="s">
        <v>8</v>
      </c>
    </row>
    <row r="473" spans="1:7" ht="13.2" x14ac:dyDescent="0.25">
      <c r="A473" s="61" t="s">
        <v>425</v>
      </c>
      <c r="B473" s="90">
        <v>81</v>
      </c>
      <c r="C473" s="63">
        <f>6604.7/1000</f>
        <v>6.6047000000000002</v>
      </c>
      <c r="D473" s="96">
        <f ca="1">IFERROR(__xludf.DUMMYFUNCTION("C467*IMPORTRANGE(""https://docs.google.com/spreadsheets/d/1xsp01RMmkav9iTy39Zaj_7tE9677EGlOJ14KU9TZn7I"",""H753"")"),5.5862882835)</f>
        <v>5.5862882835000001</v>
      </c>
      <c r="E473" s="96">
        <f ca="1">IFERROR(__xludf.DUMMYFUNCTION("C467*IMPORTRANGE(""https://docs.google.com/spreadsheets/d/1xsp01RMmkav9iTy39Zaj_7tE9677EGlOJ14KU9TZn7I"",""T753"")"),5.116462949)</f>
        <v>5.1164629489999998</v>
      </c>
      <c r="F473" s="96">
        <f ca="1">IFERROR(__xludf.DUMMYFUNCTION("C467*IMPORTRANGE(""https://docs.google.com/spreadsheets/d/1xsp01RMmkav9iTy39Zaj_7tE9677EGlOJ14KU9TZn7I"",""AC753"")"),698.04744065)</f>
        <v>698.04744065</v>
      </c>
      <c r="G473" s="61" t="s">
        <v>8</v>
      </c>
    </row>
    <row r="474" spans="1:7" ht="13.2" x14ac:dyDescent="0.25">
      <c r="A474" s="97">
        <v>44489</v>
      </c>
      <c r="B474" s="91">
        <v>59</v>
      </c>
      <c r="C474" s="75">
        <f>5382.1/1000</f>
        <v>5.3821000000000003</v>
      </c>
      <c r="D474" s="98">
        <f ca="1">IFERROR(__xludf.DUMMYFUNCTION("C468*IMPORTRANGE(""https://docs.google.com/spreadsheets/d/1xsp01RMmkav9iTy39Zaj_7tE9677EGlOJ14KU9TZn7I"",""H776"")"),4.5738000757)</f>
        <v>4.5738000757000004</v>
      </c>
      <c r="E474" s="98">
        <f ca="1">IFERROR(__xludf.DUMMYFUNCTION("C468*IMPORTRANGE(""https://docs.google.com/spreadsheets/d/1xsp01RMmkav9iTy39Zaj_7tE9677EGlOJ14KU9TZn7I"",""T776"")"),4.155627052)</f>
        <v>4.1556270519999998</v>
      </c>
      <c r="F474" s="98">
        <f ca="1">IFERROR(__xludf.DUMMYFUNCTION("C468*IMPORTRANGE(""https://docs.google.com/spreadsheets/d/1xsp01RMmkav9iTy39Zaj_7tE9677EGlOJ14KU9TZn7I"",""AC776"")"),567.4832419)</f>
        <v>567.48324190000005</v>
      </c>
      <c r="G474" s="73" t="s">
        <v>8</v>
      </c>
    </row>
    <row r="475" spans="1:7" ht="13.2" x14ac:dyDescent="0.25">
      <c r="A475" s="95">
        <v>44520</v>
      </c>
      <c r="B475" s="90">
        <v>82</v>
      </c>
      <c r="C475" s="63">
        <f>3505.5/1000</f>
        <v>3.5055000000000001</v>
      </c>
      <c r="D475" s="96">
        <f ca="1">IFERROR(__xludf.DUMMYFUNCTION("C469*IMPORTRANGE(""https://docs.google.com/spreadsheets/d/1xsp01RMmkav9iTy39Zaj_7tE9677EGlOJ14KU9TZn7I"",""H798"")"),2.95941321)</f>
        <v>2.9594132100000001</v>
      </c>
      <c r="E475" s="96">
        <f ca="1">IFERROR(__xludf.DUMMYFUNCTION("C469*IMPORTRANGE(""https://docs.google.com/spreadsheets/d/1xsp01RMmkav9iTy39Zaj_7tE9677EGlOJ14KU9TZn7I"",""T798"")"),2.650824045)</f>
        <v>2.6508240449999998</v>
      </c>
      <c r="F475" s="96">
        <f ca="1">IFERROR(__xludf.DUMMYFUNCTION("C469*IMPORTRANGE(""https://docs.google.com/spreadsheets/d/1xsp01RMmkav9iTy39Zaj_7tE9677EGlOJ14KU9TZn7I"",""AC798"")"),366.3703215)</f>
        <v>366.37032149999999</v>
      </c>
      <c r="G475" s="61" t="s">
        <v>8</v>
      </c>
    </row>
    <row r="476" spans="1:7" ht="13.2" x14ac:dyDescent="0.25">
      <c r="A476" s="99">
        <v>44550</v>
      </c>
      <c r="B476" s="92">
        <v>102</v>
      </c>
      <c r="C476" s="79">
        <f>3489.9/1000</f>
        <v>3.4899</v>
      </c>
      <c r="D476" s="100">
        <f ca="1">IFERROR(__xludf.DUMMYFUNCTION("C470*IMPORTRANGE(""https://docs.google.com/spreadsheets/d/1xsp01RMmkav9iTy39Zaj_7tE9677EGlOJ14KU9TZn7I"",""H822"")"),2.8713291846)</f>
        <v>2.8713291846</v>
      </c>
      <c r="E476" s="100">
        <f ca="1">IFERROR(__xludf.DUMMYFUNCTION("C470*IMPORTRANGE(""https://docs.google.com/spreadsheets/d/1xsp01RMmkav9iTy39Zaj_7tE9677EGlOJ14KU9TZn7I"",""T822"")"),2.600010399)</f>
        <v>2.6000103989999999</v>
      </c>
      <c r="F476" s="100">
        <f ca="1">IFERROR(__xludf.DUMMYFUNCTION("C470*IMPORTRANGE(""https://docs.google.com/spreadsheets/d/1xsp01RMmkav9iTy39Zaj_7tE9677EGlOJ14KU9TZn7I"",""AC822"")"),361.864241099999)</f>
        <v>361.86424109999899</v>
      </c>
      <c r="G476" s="77" t="s">
        <v>8</v>
      </c>
    </row>
    <row r="477" spans="1:7" ht="13.2" x14ac:dyDescent="0.25">
      <c r="A477" s="58">
        <v>2021</v>
      </c>
      <c r="B477" s="59"/>
      <c r="C477" s="93"/>
      <c r="D477" s="93"/>
      <c r="E477" s="93"/>
      <c r="F477" s="93"/>
      <c r="G477" s="58"/>
    </row>
    <row r="478" spans="1:7" ht="13.2" x14ac:dyDescent="0.25">
      <c r="A478" s="95">
        <v>44947</v>
      </c>
      <c r="B478" s="90">
        <v>49</v>
      </c>
      <c r="C478" s="63">
        <f>649.2/1000</f>
        <v>0.6492</v>
      </c>
      <c r="D478" s="96">
        <f ca="1">IFERROR(__xludf.DUMMYFUNCTION("C472*IMPORTRANGE(""https://docs.google.com/spreadsheets/d/1xsp01RMmkav9iTy39Zaj_7tE9677EGlOJ14KU9TZn7I"",""H845"")"),0.5337501672)</f>
        <v>0.53375016720000001</v>
      </c>
      <c r="E478" s="96">
        <f ca="1">IFERROR(__xludf.DUMMYFUNCTION("C472*IMPORTRANGE(""https://docs.google.com/spreadsheets/d/1xsp01RMmkav9iTy39Zaj_7tE9677EGlOJ14KU9TZn7I"",""T845"")"),0.474961211999999)</f>
        <v>0.47496121199999902</v>
      </c>
      <c r="F478" s="96">
        <f ca="1">IFERROR(__xludf.DUMMYFUNCTION("C472*IMPORTRANGE(""https://docs.google.com/spreadsheets/d/1xsp01RMmkav9iTy39Zaj_7tE9677EGlOJ14KU9TZn7I"",""AC845"")"),67.360992)</f>
        <v>67.360991999999996</v>
      </c>
      <c r="G478" s="61" t="s">
        <v>8</v>
      </c>
    </row>
    <row r="479" spans="1:7" ht="13.2" x14ac:dyDescent="0.25">
      <c r="A479" s="97">
        <v>44978</v>
      </c>
      <c r="B479" s="91">
        <v>63</v>
      </c>
      <c r="C479" s="75">
        <f>328.2/1000</f>
        <v>0.32819999999999999</v>
      </c>
      <c r="D479" s="98">
        <f ca="1">IFERROR(__xludf.DUMMYFUNCTION("C473*IMPORTRANGE(""https://docs.google.com/spreadsheets/d/1xsp01RMmkav9iTy39Zaj_7tE9677EGlOJ14KU9TZn7I"",""H866"")"),0.2707787844)</f>
        <v>0.27077878440000003</v>
      </c>
      <c r="E479" s="98">
        <f ca="1">IFERROR(__xludf.DUMMYFUNCTION("C473*IMPORTRANGE(""https://docs.google.com/spreadsheets/d/1xsp01RMmkav9iTy39Zaj_7tE9677EGlOJ14KU9TZn7I"",""T866"")"),0.236976809999999)</f>
        <v>0.23697680999999901</v>
      </c>
      <c r="F479" s="98">
        <f ca="1">IFERROR(__xludf.DUMMYFUNCTION("C473*IMPORTRANGE(""https://docs.google.com/spreadsheets/d/1xsp01RMmkav9iTy39Zaj_7tE9677EGlOJ14KU9TZn7I"",""AC866"")"),34.5419013)</f>
        <v>34.541901299999999</v>
      </c>
      <c r="G479" s="73" t="s">
        <v>8</v>
      </c>
    </row>
    <row r="480" spans="1:7" ht="13.2" x14ac:dyDescent="0.25">
      <c r="A480" s="95">
        <v>45006</v>
      </c>
      <c r="B480" s="90">
        <v>96</v>
      </c>
      <c r="C480" s="63">
        <f>9270.7/1000</f>
        <v>9.2707000000000015</v>
      </c>
      <c r="D480" s="96">
        <f ca="1">IFERROR(__xludf.DUMMYFUNCTION("C474*IMPORTRANGE(""https://docs.google.com/spreadsheets/d/1xsp01RMmkav9iTy39Zaj_7tE9677EGlOJ14KU9TZn7I"",""H890"")"),7.773760071)</f>
        <v>7.7737600709999999</v>
      </c>
      <c r="E480" s="96">
        <f ca="1">IFERROR(__xludf.DUMMYFUNCTION("C474*IMPORTRANGE(""https://docs.google.com/spreadsheets/d/1xsp01RMmkav9iTy39Zaj_7tE9677EGlOJ14KU9TZn7I"",""T890"")"),6.672400911)</f>
        <v>6.6724009110000004</v>
      </c>
      <c r="F480" s="96">
        <f ca="1">IFERROR(__xludf.DUMMYFUNCTION("C474*IMPORTRANGE(""https://docs.google.com/spreadsheets/d/1xsp01RMmkav9iTy39Zaj_7tE9677EGlOJ14KU9TZn7I"",""AC890"")"),1008.559453)</f>
        <v>1008.559453</v>
      </c>
      <c r="G480" s="61" t="s">
        <v>8</v>
      </c>
    </row>
    <row r="481" spans="1:11" ht="13.2" x14ac:dyDescent="0.25">
      <c r="A481" s="97">
        <v>45037</v>
      </c>
      <c r="B481" s="91">
        <v>71</v>
      </c>
      <c r="C481" s="75">
        <f>2506.6/1000</f>
        <v>2.5065999999999997</v>
      </c>
      <c r="D481" s="98">
        <f ca="1">IFERROR(__xludf.DUMMYFUNCTION("C475*IMPORTRANGE(""https://docs.google.com/spreadsheets/d/1xsp01RMmkav9iTy39Zaj_7tE9677EGlOJ14KU9TZn7I"",""H913"")"),2.093963508)</f>
        <v>2.0939635079999999</v>
      </c>
      <c r="E481" s="98">
        <f ca="1">IFERROR(__xludf.DUMMYFUNCTION("C475*IMPORTRANGE(""https://docs.google.com/spreadsheets/d/1xsp01RMmkav9iTy39Zaj_7tE9677EGlOJ14KU9TZn7I"",""T913"")"),1.81202113999999)</f>
        <v>1.8120211399999899</v>
      </c>
      <c r="F481" s="98">
        <f ca="1">IFERROR(__xludf.DUMMYFUNCTION("C475*IMPORTRANGE(""https://docs.google.com/spreadsheets/d/1xsp01RMmkav9iTy39Zaj_7tE9677EGlOJ14KU9TZn7I"",""AC913"")"),272.966233399999)</f>
        <v>272.966233399999</v>
      </c>
      <c r="G481" s="73" t="s">
        <v>8</v>
      </c>
    </row>
    <row r="482" spans="1:11" ht="13.2" x14ac:dyDescent="0.25">
      <c r="A482" s="95">
        <v>45067</v>
      </c>
      <c r="B482" s="90">
        <v>73</v>
      </c>
      <c r="C482" s="63">
        <f>6445.9/1000</f>
        <v>6.4459</v>
      </c>
      <c r="D482" s="96">
        <f ca="1">IFERROR(__xludf.DUMMYFUNCTION("C476*IMPORTRANGE(""https://docs.google.com/spreadsheets/d/1xsp01RMmkav9iTy39Zaj_7tE9677EGlOJ14KU9TZn7I"",""H935"")"),5.302268422)</f>
        <v>5.302268422</v>
      </c>
      <c r="E482" s="96">
        <f ca="1">IFERROR(__xludf.DUMMYFUNCTION("C476*IMPORTRANGE(""https://docs.google.com/spreadsheets/d/1xsp01RMmkav9iTy39Zaj_7tE9677EGlOJ14KU9TZn7I"",""t935"")"),4.566340019)</f>
        <v>4.5663400190000001</v>
      </c>
      <c r="F482" s="96">
        <f ca="1">IFERROR(__xludf.DUMMYFUNCTION("C476*IMPORTRANGE(""https://docs.google.com/spreadsheets/d/1xsp01RMmkav9iTy39Zaj_7tE9677EGlOJ14KU9TZn7I"",""AC935"")"),703.698903)</f>
        <v>703.69890299999997</v>
      </c>
      <c r="G482" s="61" t="s">
        <v>8</v>
      </c>
    </row>
    <row r="483" spans="1:11" ht="13.2" x14ac:dyDescent="0.25">
      <c r="A483" s="97">
        <v>45098</v>
      </c>
      <c r="B483" s="91">
        <v>71</v>
      </c>
      <c r="C483" s="75">
        <f>1780.9/1000</f>
        <v>1.7809000000000001</v>
      </c>
      <c r="D483" s="98">
        <f ca="1">IFERROR(__xludf.DUMMYFUNCTION("C477*IMPORTRANGE(""https://docs.google.com/spreadsheets/d/1xsp01RMmkav9iTy39Zaj_7tE9677EGlOJ14KU9TZn7I"",""H958"")"),1.469848006)</f>
        <v>1.4698480060000001</v>
      </c>
      <c r="E483" s="98">
        <f ca="1">IFERROR(__xludf.DUMMYFUNCTION("C477*IMPORTRANGE(""https://docs.google.com/spreadsheets/d/1xsp01RMmkav9iTy39Zaj_7tE9677EGlOJ14KU9TZn7I"",""t958"")"),1.2634327915)</f>
        <v>1.2634327915000001</v>
      </c>
      <c r="F483" s="98">
        <f ca="1">IFERROR(__xludf.DUMMYFUNCTION("C477*IMPORTRANGE(""https://docs.google.com/spreadsheets/d/1xsp01RMmkav9iTy39Zaj_7tE9677EGlOJ14KU9TZn7I"",""AC958"")"),196.15277825)</f>
        <v>196.15277825000001</v>
      </c>
      <c r="G483" s="73" t="s">
        <v>8</v>
      </c>
    </row>
    <row r="484" spans="1:11" ht="13.2" x14ac:dyDescent="0.25">
      <c r="A484" s="95">
        <v>45128</v>
      </c>
      <c r="B484" s="90">
        <v>59</v>
      </c>
      <c r="C484" s="63">
        <f>2015.6/1000</f>
        <v>2.0156000000000001</v>
      </c>
      <c r="D484" s="96">
        <f ca="1">IFERROR(__xludf.DUMMYFUNCTION("C478*IMPORTRANGE(""https://docs.google.com/spreadsheets/d/1xsp01RMmkav9iTy39Zaj_7tE9677EGlOJ14KU9TZn7I"",""H981"")"),1.7046937)</f>
        <v>1.7046937</v>
      </c>
      <c r="E484" s="96">
        <f ca="1">IFERROR(__xludf.DUMMYFUNCTION("C478*IMPORTRANGE(""https://docs.google.com/spreadsheets/d/1xsp01RMmkav9iTy39Zaj_7tE9677EGlOJ14KU9TZn7I"",""t981"")"),1.458719954)</f>
        <v>1.458719954</v>
      </c>
      <c r="F484" s="96">
        <f ca="1">IFERROR(__xludf.DUMMYFUNCTION("C478*IMPORTRANGE(""https://docs.google.com/spreadsheets/d/1xsp01RMmkav9iTy39Zaj_7tE9677EGlOJ14KU9TZn7I"",""AC981"")"),222.189666)</f>
        <v>222.18966599999999</v>
      </c>
      <c r="G484" s="61" t="s">
        <v>8</v>
      </c>
    </row>
    <row r="485" spans="1:11" ht="13.2" x14ac:dyDescent="0.25">
      <c r="A485" s="97">
        <v>45159</v>
      </c>
      <c r="B485" s="91">
        <v>72</v>
      </c>
      <c r="C485" s="75">
        <f>9720.8/1000</f>
        <v>9.7207999999999988</v>
      </c>
      <c r="D485" s="98">
        <f ca="1">IFERROR(__xludf.DUMMYFUNCTION("C479*IMPORTRANGE(""https://docs.google.com/spreadsheets/d/1xsp01RMmkav9iTy39Zaj_7tE9677EGlOJ14KU9TZn7I"",""H1004"")"),8.269678976)</f>
        <v>8.2696789759999998</v>
      </c>
      <c r="E485" s="98">
        <f ca="1">IFERROR(__xludf.DUMMYFUNCTION("C479*IMPORTRANGE(""https://docs.google.com/spreadsheets/d/1xsp01RMmkav9iTy39Zaj_7tE9677EGlOJ14KU9TZn7I"",""t1004"")"),7.03192951199999)</f>
        <v>7.0319295119999898</v>
      </c>
      <c r="F485" s="98">
        <f ca="1">IFERROR(__xludf.DUMMYFUNCTION("C479*IMPORTRANGE(""https://docs.google.com/spreadsheets/d/1xsp01RMmkav9iTy39Zaj_7tE9677EGlOJ14KU9TZn7I"",""AC1004"")"),1067.38272319999)</f>
        <v>1067.3827231999901</v>
      </c>
      <c r="G485" s="73" t="s">
        <v>8</v>
      </c>
    </row>
    <row r="486" spans="1:11" ht="13.2" x14ac:dyDescent="0.25">
      <c r="A486" s="95">
        <v>45190</v>
      </c>
      <c r="B486" s="90">
        <v>76</v>
      </c>
      <c r="C486" s="63">
        <f>2879.9/1000</f>
        <v>2.8799000000000001</v>
      </c>
      <c r="D486" s="96">
        <f ca="1">IFERROR(__xludf.DUMMYFUNCTION("C480*IMPORTRANGE(""https://docs.google.com/spreadsheets/d/1xsp01RMmkav9iTy39Zaj_7tE9677EGlOJ14KU9TZn7I"",""H1027"")"),2.439016109)</f>
        <v>2.4390161090000002</v>
      </c>
      <c r="E486" s="96">
        <f ca="1">IFERROR(__xludf.DUMMYFUNCTION("C480*IMPORTRANGE(""https://docs.google.com/spreadsheets/d/1xsp01RMmkav9iTy39Zaj_7tE9677EGlOJ14KU9TZn7I"",""t1027"")"),2.0914841765)</f>
        <v>2.0914841764999998</v>
      </c>
      <c r="F486" s="96">
        <f ca="1">IFERROR(__xludf.DUMMYFUNCTION("C480*IMPORTRANGE(""https://docs.google.com/spreadsheets/d/1xsp01RMmkav9iTy39Zaj_7tE9677EGlOJ14KU9TZn7I"",""AC1027"")"),316.6680442)</f>
        <v>316.6680442</v>
      </c>
      <c r="G486" s="61" t="s">
        <v>8</v>
      </c>
    </row>
    <row r="487" spans="1:11" ht="13.2" x14ac:dyDescent="0.25">
      <c r="A487" s="97">
        <v>45220</v>
      </c>
      <c r="B487" s="91">
        <v>58</v>
      </c>
      <c r="C487" s="75">
        <f>12811.5/1000</f>
        <v>12.811500000000001</v>
      </c>
      <c r="D487" s="98">
        <f ca="1">IFERROR(__xludf.DUMMYFUNCTION("C481*IMPORTRANGE(""https://docs.google.com/spreadsheets/d/1xsp01RMmkav9iTy39Zaj_7tE9677EGlOJ14KU9TZn7I"",""H1049"")"),11.04479415)</f>
        <v>11.04479415</v>
      </c>
      <c r="E487" s="98">
        <f ca="1">IFERROR(__xludf.DUMMYFUNCTION("C481*IMPORTRANGE(""https://docs.google.com/spreadsheets/d/1xsp01RMmkav9iTy39Zaj_7tE9677EGlOJ14KU9TZn7I"",""t1049"")"),9.372509055)</f>
        <v>9.3725090550000001</v>
      </c>
      <c r="F487" s="98">
        <f ca="1">IFERROR(__xludf.DUMMYFUNCTION("C481*IMPORTRANGE(""https://docs.google.com/spreadsheets/d/1xsp01RMmkav9iTy39Zaj_7tE9677EGlOJ14KU9TZn7I"",""AC1049"")"),1455.591384)</f>
        <v>1455.5913840000001</v>
      </c>
      <c r="G487" s="73" t="s">
        <v>8</v>
      </c>
    </row>
    <row r="488" spans="1:11" ht="13.2" x14ac:dyDescent="0.25">
      <c r="A488" s="95">
        <v>45251</v>
      </c>
      <c r="B488" s="90">
        <v>78</v>
      </c>
      <c r="C488" s="63">
        <f>7980.2/1000</f>
        <v>7.9802</v>
      </c>
      <c r="D488" s="96">
        <f ca="1">IFERROR(__xludf.DUMMYFUNCTION("C482*IMPORTRANGE(""https://docs.google.com/spreadsheets/d/1xsp01RMmkav9iTy39Zaj_7tE9677EGlOJ14KU9TZn7I"",""H1072"")"),6.997159063)</f>
        <v>6.9971590629999998</v>
      </c>
      <c r="E488" s="96">
        <f ca="1">IFERROR(__xludf.DUMMYFUNCTION("C482*IMPORTRANGE(""https://docs.google.com/spreadsheets/d/1xsp01RMmkav9iTy39Zaj_7tE9677EGlOJ14KU9TZn7I"",""t1072"")"),5.942256425)</f>
        <v>5.9422564250000001</v>
      </c>
      <c r="F488" s="96">
        <f ca="1">IFERROR(__xludf.DUMMYFUNCTION("C482*IMPORTRANGE(""https://docs.google.com/spreadsheets/d/1xsp01RMmkav9iTy39Zaj_7tE9677EGlOJ14KU9TZn7I"",""AC1072"")"),910.397176399999)</f>
        <v>910.39717639999901</v>
      </c>
      <c r="G488" s="61" t="s">
        <v>8</v>
      </c>
    </row>
    <row r="489" spans="1:11" ht="13.2" x14ac:dyDescent="0.25">
      <c r="A489" s="99">
        <v>45281</v>
      </c>
      <c r="B489" s="92">
        <v>81</v>
      </c>
      <c r="C489" s="79">
        <f>4860.5/1000</f>
        <v>4.8605</v>
      </c>
      <c r="D489" s="100">
        <f ca="1">IFERROR(__xludf.DUMMYFUNCTION("C483*IMPORTRANGE(""https://docs.google.com/spreadsheets/d/1xsp01RMmkav9iTy39Zaj_7tE9677EGlOJ14KU9TZn7I"",""H1096"")"),4.296827815)</f>
        <v>4.2968278150000003</v>
      </c>
      <c r="E489" s="100">
        <f ca="1">IFERROR(__xludf.DUMMYFUNCTION("C483*IMPORTRANGE(""https://docs.google.com/spreadsheets/d/1xsp01RMmkav9iTy39Zaj_7tE9677EGlOJ14KU9TZn7I"",""t1096"")"),3.6628728)</f>
        <v>3.6628728000000002</v>
      </c>
      <c r="F489" s="100">
        <f ca="1">IFERROR(__xludf.DUMMYFUNCTION("C483*IMPORTRANGE(""https://docs.google.com/spreadsheets/d/1xsp01RMmkav9iTy39Zaj_7tE9677EGlOJ14KU9TZn7I"",""AC1096"")"),552.4590115)</f>
        <v>552.45901149999997</v>
      </c>
      <c r="G489" s="77" t="s">
        <v>8</v>
      </c>
    </row>
    <row r="490" spans="1:11" ht="13.2" x14ac:dyDescent="0.25">
      <c r="A490" s="58">
        <v>2022</v>
      </c>
      <c r="B490" s="59"/>
      <c r="C490" s="93"/>
      <c r="D490" s="93"/>
      <c r="E490" s="93"/>
      <c r="F490" s="93"/>
      <c r="G490" s="58"/>
      <c r="I490" s="117" t="s">
        <v>426</v>
      </c>
      <c r="J490" s="118" t="s">
        <v>1</v>
      </c>
      <c r="K490" s="119" t="s">
        <v>427</v>
      </c>
    </row>
    <row r="491" spans="1:11" ht="13.2" x14ac:dyDescent="0.25">
      <c r="A491" s="95">
        <v>44948</v>
      </c>
      <c r="B491" s="90">
        <v>53</v>
      </c>
      <c r="C491" s="63">
        <f>3083.5/1000</f>
        <v>3.0834999999999999</v>
      </c>
      <c r="D491" s="96">
        <f ca="1">IFERROR(__xludf.DUMMYFUNCTION("C485*IMPORTRANGE(""https://docs.google.com/spreadsheets/d/1xsp01RMmkav9iTy39Zaj_7tE9677EGlOJ14KU9TZn7I"",""H1119"")"),2.72162043999999)</f>
        <v>2.7216204399999899</v>
      </c>
      <c r="E491" s="96">
        <f ca="1">IFERROR(__xludf.DUMMYFUNCTION("C485*IMPORTRANGE(""https://docs.google.com/spreadsheets/d/1xsp01RMmkav9iTy39Zaj_7tE9677EGlOJ14KU9TZn7I"",""T1119"")"),2.27466711499999)</f>
        <v>2.27466711499999</v>
      </c>
      <c r="F491" s="96">
        <f ca="1">IFERROR(__xludf.DUMMYFUNCTION("C485*IMPORTRANGE(""https://docs.google.com/spreadsheets/d/1xsp01RMmkav9iTy39Zaj_7tE9677EGlOJ14KU9TZn7I"",""AC1119"")"),353.7422035)</f>
        <v>353.74220350000002</v>
      </c>
      <c r="G491" s="61" t="s">
        <v>8</v>
      </c>
      <c r="I491" s="34"/>
      <c r="J491" s="14">
        <f t="shared" ref="J491:K491" si="0">SUM(B491:B501)</f>
        <v>624</v>
      </c>
      <c r="K491" s="15">
        <f t="shared" si="0"/>
        <v>29.870999999999999</v>
      </c>
    </row>
    <row r="492" spans="1:11" ht="13.2" x14ac:dyDescent="0.25">
      <c r="A492" s="97">
        <v>44979</v>
      </c>
      <c r="B492" s="91">
        <v>52</v>
      </c>
      <c r="C492" s="75">
        <f>516.2/1000</f>
        <v>0.51619999999999999</v>
      </c>
      <c r="D492" s="98">
        <f ca="1">IFERROR(__xludf.DUMMYFUNCTION("C486*IMPORTRANGE(""https://docs.google.com/spreadsheets/d/1xsp01RMmkav9iTy39Zaj_7tE9677EGlOJ14KU9TZn7I"",""H1140"")"),0.455084501)</f>
        <v>0.45508450099999997</v>
      </c>
      <c r="E492" s="98">
        <f ca="1">IFERROR(__xludf.DUMMYFUNCTION("C486*IMPORTRANGE(""https://docs.google.com/spreadsheets/d/1xsp01RMmkav9iTy39Zaj_7tE9677EGlOJ14KU9TZn7I"",""T1140"")"),0.381053678)</f>
        <v>0.38105367800000001</v>
      </c>
      <c r="F492" s="98">
        <f ca="1">IFERROR(__xludf.DUMMYFUNCTION("C486*IMPORTRANGE(""https://docs.google.com/spreadsheets/d/1xsp01RMmkav9iTy39Zaj_7tE9677EGlOJ14KU9TZn7I"",""AC1140"")"),59.4520445)</f>
        <v>59.4520445</v>
      </c>
      <c r="G492" s="73" t="s">
        <v>8</v>
      </c>
      <c r="I492" s="2"/>
      <c r="J492" s="3"/>
      <c r="K492" s="4"/>
    </row>
    <row r="493" spans="1:11" ht="13.2" x14ac:dyDescent="0.25">
      <c r="A493" s="95">
        <v>45007</v>
      </c>
      <c r="B493" s="90">
        <v>92</v>
      </c>
      <c r="C493" s="63">
        <f>5850.4/1000</f>
        <v>5.8503999999999996</v>
      </c>
      <c r="D493" s="96">
        <f ca="1">IFERROR(__xludf.DUMMYFUNCTION("C487*IMPORTRANGE(""https://docs.google.com/spreadsheets/d/1xsp01RMmkav9iTy39Zaj_7tE9677EGlOJ14KU9TZn7I"",""H1164"")"),5.31023256799999)</f>
        <v>5.3102325679999902</v>
      </c>
      <c r="E493" s="96">
        <f ca="1">IFERROR(__xludf.DUMMYFUNCTION("C487*IMPORTRANGE(""https://docs.google.com/spreadsheets/d/1xsp01RMmkav9iTy39Zaj_7tE9677EGlOJ14KU9TZn7I"",""T1164"")"),4.445309432)</f>
        <v>4.4453094320000002</v>
      </c>
      <c r="F493" s="96">
        <f ca="1">IFERROR(__xludf.DUMMYFUNCTION("C487*IMPORTRANGE(""https://docs.google.com/spreadsheets/d/1xsp01RMmkav9iTy39Zaj_7tE9677EGlOJ14KU9TZn7I"",""AC1164"")"),692.0555168)</f>
        <v>692.05551679999996</v>
      </c>
      <c r="G493" s="61" t="s">
        <v>8</v>
      </c>
      <c r="I493" s="2"/>
      <c r="J493" s="2"/>
      <c r="K493" s="4"/>
    </row>
    <row r="494" spans="1:11" ht="13.2" x14ac:dyDescent="0.25">
      <c r="A494" s="97">
        <v>45038</v>
      </c>
      <c r="B494" s="91">
        <v>41</v>
      </c>
      <c r="C494" s="75">
        <f>353.4/1000</f>
        <v>0.35339999999999999</v>
      </c>
      <c r="D494" s="98">
        <f ca="1">IFERROR(__xludf.DUMMYFUNCTION("C488*IMPORTRANGE(""https://docs.google.com/spreadsheets/d/1xsp01RMmkav9iTy39Zaj_7tE9677EGlOJ14KU9TZn7I"",""H1186"")"),0.326159928)</f>
        <v>0.32615992799999999</v>
      </c>
      <c r="E494" s="98">
        <f ca="1">IFERROR(__xludf.DUMMYFUNCTION("C488*IMPORTRANGE(""https://docs.google.com/spreadsheets/d/1xsp01RMmkav9iTy39Zaj_7tE9677EGlOJ14KU9TZn7I"",""T1186"")"),0.271174421999999)</f>
        <v>0.27117442199999903</v>
      </c>
      <c r="F494" s="98">
        <f ca="1">IFERROR(__xludf.DUMMYFUNCTION("C488*IMPORTRANGE(""https://docs.google.com/spreadsheets/d/1xsp01RMmkav9iTy39Zaj_7tE9677EGlOJ14KU9TZn7I"",""AC1186"")"),44.5916586)</f>
        <v>44.591658600000002</v>
      </c>
      <c r="G494" s="73" t="s">
        <v>8</v>
      </c>
      <c r="I494" s="2"/>
      <c r="J494" s="2"/>
      <c r="K494" s="4"/>
    </row>
    <row r="495" spans="1:11" ht="13.2" x14ac:dyDescent="0.25">
      <c r="A495" s="95">
        <v>45068</v>
      </c>
      <c r="B495" s="90">
        <v>41</v>
      </c>
      <c r="C495" s="63">
        <f>4259.1/1000</f>
        <v>4.2591000000000001</v>
      </c>
      <c r="D495" s="96">
        <f ca="1">IFERROR(__xludf.DUMMYFUNCTION("C489*IMPORTRANGE(""https://docs.google.com/spreadsheets/d/1xsp01RMmkav9iTy39Zaj_7tE9677EGlOJ14KU9TZn7I"",""H1209"")"),4.0394369175)</f>
        <v>4.0394369174999998</v>
      </c>
      <c r="E495" s="96">
        <f ca="1">IFERROR(__xludf.DUMMYFUNCTION("C489*IMPORTRANGE(""https://docs.google.com/spreadsheets/d/1xsp01RMmkav9iTy39Zaj_7tE9677EGlOJ14KU9TZn7I"",""T1209"")"),3.4096438005)</f>
        <v>3.4096438005</v>
      </c>
      <c r="F495" s="96">
        <f ca="1">IFERROR(__xludf.DUMMYFUNCTION("C489*IMPORTRANGE(""https://docs.google.com/spreadsheets/d/1xsp01RMmkav9iTy39Zaj_7tE9677EGlOJ14KU9TZn7I"",""AC1209"")"),549.7348143)</f>
        <v>549.73481430000004</v>
      </c>
      <c r="G495" s="61" t="s">
        <v>8</v>
      </c>
      <c r="I495" s="2"/>
      <c r="J495" s="2"/>
      <c r="K495" s="4"/>
    </row>
    <row r="496" spans="1:11" ht="13.2" x14ac:dyDescent="0.25">
      <c r="A496" s="97">
        <v>45099</v>
      </c>
      <c r="B496" s="91">
        <v>50</v>
      </c>
      <c r="C496" s="75">
        <f>1596.7/1000</f>
        <v>1.5967</v>
      </c>
      <c r="D496" s="98">
        <f ca="1">IFERROR(__xludf.DUMMYFUNCTION("C490*IMPORTRANGE(""https://docs.google.com/spreadsheets/d/1xsp01RMmkav9iTy39Zaj_7tE9677EGlOJ14KU9TZn7I"",""H1232"")"),1.5126736625)</f>
        <v>1.5126736624999999</v>
      </c>
      <c r="E496" s="98">
        <f ca="1">IFERROR(__xludf.DUMMYFUNCTION("C490*IMPORTRANGE(""https://docs.google.com/spreadsheets/d/1xsp01RMmkav9iTy39Zaj_7tE9677EGlOJ14KU9TZn7I"",""T1232"")"),1.301182764)</f>
        <v>1.301182764</v>
      </c>
      <c r="F496" s="98">
        <f ca="1">IFERROR(__xludf.DUMMYFUNCTION("C490*IMPORTRANGE(""https://docs.google.com/spreadsheets/d/1xsp01RMmkav9iTy39Zaj_7tE9677EGlOJ14KU9TZn7I"",""AC1232"")"),214.9509474)</f>
        <v>214.95094739999999</v>
      </c>
      <c r="G496" s="73" t="s">
        <v>8</v>
      </c>
      <c r="I496" s="2"/>
      <c r="J496" s="2"/>
      <c r="K496" s="4"/>
    </row>
    <row r="497" spans="1:11" ht="13.2" x14ac:dyDescent="0.25">
      <c r="A497" s="95">
        <v>45129</v>
      </c>
      <c r="B497" s="90">
        <v>57</v>
      </c>
      <c r="C497" s="63">
        <f>3196.6/1000</f>
        <v>3.1966000000000001</v>
      </c>
      <c r="D497" s="96">
        <f ca="1">IFERROR(__xludf.DUMMYFUNCTION("C491*IMPORTRANGE(""https://docs.google.com/spreadsheets/d/1xsp01RMmkav9iTy39Zaj_7tE9677EGlOJ14KU9TZn7I"",""H1254"")"),3.13810222)</f>
        <v>3.1381022199999999</v>
      </c>
      <c r="E497" s="96">
        <f ca="1">IFERROR(__xludf.DUMMYFUNCTION("C491*IMPORTRANGE(""https://docs.google.com/spreadsheets/d/1xsp01RMmkav9iTy39Zaj_7tE9677EGlOJ14KU9TZn7I"",""T1254"")"),2.66468576)</f>
        <v>2.6646857599999998</v>
      </c>
      <c r="F497" s="96">
        <f ca="1">IFERROR(__xludf.DUMMYFUNCTION("C491*IMPORTRANGE(""https://docs.google.com/spreadsheets/d/1xsp01RMmkav9iTy39Zaj_7tE9677EGlOJ14KU9TZn7I"",""AC1254"")"),436.1153346)</f>
        <v>436.11533459999998</v>
      </c>
      <c r="G497" s="61" t="s">
        <v>8</v>
      </c>
      <c r="I497" s="2"/>
      <c r="J497" s="2"/>
      <c r="K497" s="4"/>
    </row>
    <row r="498" spans="1:11" ht="13.2" x14ac:dyDescent="0.25">
      <c r="A498" s="97">
        <v>45160</v>
      </c>
      <c r="B498" s="91">
        <v>51</v>
      </c>
      <c r="C498" s="75">
        <f>2134.2/1000</f>
        <v>2.1341999999999999</v>
      </c>
      <c r="D498" s="98">
        <f ca="1">IFERROR(__xludf.DUMMYFUNCTION("C492*IMPORTRANGE(""https://docs.google.com/spreadsheets/d/1xsp01RMmkav9iTy39Zaj_7tE9677EGlOJ14KU9TZn7I"",""H1278"")"),2.100180852)</f>
        <v>2.1001808519999998</v>
      </c>
      <c r="E498" s="98">
        <f ca="1">IFERROR(__xludf.DUMMYFUNCTION("C492*IMPORTRANGE(""https://docs.google.com/spreadsheets/d/1xsp01RMmkav9iTy39Zaj_7tE9677EGlOJ14KU9TZn7I"",""T1278"")"),1.76972132399999)</f>
        <v>1.76972132399999</v>
      </c>
      <c r="F498" s="98">
        <f ca="1">IFERROR(__xludf.DUMMYFUNCTION("C492*IMPORTRANGE(""https://docs.google.com/spreadsheets/d/1xsp01RMmkav9iTy39Zaj_7tE9677EGlOJ14KU9TZn7I"",""AC1278"")"),287.997484799999)</f>
        <v>287.99748479999897</v>
      </c>
      <c r="G498" s="73" t="s">
        <v>8</v>
      </c>
      <c r="I498" s="2"/>
      <c r="J498" s="2"/>
      <c r="K498" s="4"/>
    </row>
    <row r="499" spans="1:11" ht="13.2" x14ac:dyDescent="0.25">
      <c r="A499" s="95">
        <v>45191</v>
      </c>
      <c r="B499" s="90">
        <v>56</v>
      </c>
      <c r="C499" s="63">
        <f>2461.7/1000</f>
        <v>2.4617</v>
      </c>
      <c r="D499" s="96">
        <f ca="1">IFERROR(__xludf.DUMMYFUNCTION("C493*IMPORTRANGE(""https://docs.google.com/spreadsheets/d/1xsp01RMmkav9iTy39Zaj_7tE9677EGlOJ14KU9TZn7I"",""H1301"")"),2.471202162)</f>
        <v>2.471202162</v>
      </c>
      <c r="E499" s="96">
        <f ca="1">IFERROR(__xludf.DUMMYFUNCTION("C493*IMPORTRANGE(""https://docs.google.com/spreadsheets/d/1xsp01RMmkav9iTy39Zaj_7tE9677EGlOJ14KU9TZn7I"",""T1301"")"),2.1474024525)</f>
        <v>2.1474024525000002</v>
      </c>
      <c r="F499" s="96">
        <f ca="1">IFERROR(__xludf.DUMMYFUNCTION("C493*IMPORTRANGE(""https://docs.google.com/spreadsheets/d/1xsp01RMmkav9iTy39Zaj_7tE9677EGlOJ14KU9TZn7I"",""AC1301"")"),352.7468398)</f>
        <v>352.74683979999998</v>
      </c>
      <c r="G499" s="61" t="s">
        <v>8</v>
      </c>
      <c r="I499" s="2"/>
      <c r="J499" s="2"/>
      <c r="K499" s="4"/>
    </row>
    <row r="500" spans="1:11" ht="13.2" x14ac:dyDescent="0.25">
      <c r="A500" s="97">
        <v>45221</v>
      </c>
      <c r="B500" s="91">
        <v>65</v>
      </c>
      <c r="C500" s="75">
        <f>3389/1000</f>
        <v>3.3889999999999998</v>
      </c>
      <c r="D500" s="98">
        <f ca="1">IFERROR(__xludf.DUMMYFUNCTION("C494*IMPORTRANGE(""https://docs.google.com/spreadsheets/d/1xsp01RMmkav9iTy39Zaj_7tE9677EGlOJ14KU9TZn7I"",""H1323"")"),3.44688411999999)</f>
        <v>3.4468841199999898</v>
      </c>
      <c r="E500" s="98">
        <f ca="1">IFERROR(__xludf.DUMMYFUNCTION("C494*IMPORTRANGE(""https://docs.google.com/spreadsheets/d/1xsp01RMmkav9iTy39Zaj_7tE9677EGlOJ14KU9TZn7I"",""T1323"")"),2.99706214999999)</f>
        <v>2.9970621499999899</v>
      </c>
      <c r="F500" s="98">
        <f ca="1">IFERROR(__xludf.DUMMYFUNCTION("C494*IMPORTRANGE(""https://docs.google.com/spreadsheets/d/1xsp01RMmkav9iTy39Zaj_7tE9677EGlOJ14KU9TZn7I"",""AC1323"")"),497.291692999999)</f>
        <v>497.29169299999899</v>
      </c>
      <c r="G500" s="73" t="s">
        <v>8</v>
      </c>
      <c r="I500" s="2"/>
      <c r="J500" s="2"/>
      <c r="K500" s="4"/>
    </row>
    <row r="501" spans="1:11" ht="13.2" x14ac:dyDescent="0.25">
      <c r="A501" s="95">
        <v>45252</v>
      </c>
      <c r="B501" s="90">
        <v>66</v>
      </c>
      <c r="C501" s="63">
        <f>3030.2/1000</f>
        <v>3.0301999999999998</v>
      </c>
      <c r="D501" s="96">
        <f ca="1">IFERROR(__xludf.DUMMYFUNCTION("C495*IMPORTRANGE(""https://docs.google.com/spreadsheets/d/1xsp01RMmkav9iTy39Zaj_7tE9677EGlOJ14KU9TZn7I"",""H1346"")"),2.937612239)</f>
        <v>2.9376122389999999</v>
      </c>
      <c r="E501" s="96">
        <f ca="1">IFERROR(__xludf.DUMMYFUNCTION("C495*IMPORTRANGE(""https://docs.google.com/spreadsheets/d/1xsp01RMmkav9iTy39Zaj_7tE9677EGlOJ14KU9TZn7I"",""T1346"")"),2.5650643)</f>
        <v>2.5650643</v>
      </c>
      <c r="F501" s="96">
        <f ca="1">IFERROR(__xludf.DUMMYFUNCTION("C495*IMPORTRANGE(""https://docs.google.com/spreadsheets/d/1xsp01RMmkav9iTy39Zaj_7tE9677EGlOJ14KU9TZn7I"",""AC1346"")"),426.602161699999)</f>
        <v>426.60216169999899</v>
      </c>
      <c r="G501" s="61" t="s">
        <v>8</v>
      </c>
      <c r="I501" s="2"/>
      <c r="J501" s="2"/>
      <c r="K501" s="4"/>
    </row>
    <row r="502" spans="1:11" ht="13.2" x14ac:dyDescent="0.25">
      <c r="A502" s="99">
        <v>45282</v>
      </c>
      <c r="B502" s="92">
        <v>68</v>
      </c>
      <c r="C502" s="102">
        <f>14544.2/1000</f>
        <v>14.5442</v>
      </c>
      <c r="D502" s="100">
        <f ca="1">IFERROR(__xludf.DUMMYFUNCTION("C496*IMPORTRANGE(""https://docs.google.com/spreadsheets/d/1xsp01RMmkav9iTy39Zaj_7tE9677EGlOJ14KU9TZn7I"",""H1369"")"),13.71227176)</f>
        <v>13.71227176</v>
      </c>
      <c r="E502" s="100">
        <f ca="1">IFERROR(__xludf.DUMMYFUNCTION("C496*IMPORTRANGE(""https://docs.google.com/spreadsheets/d/1xsp01RMmkav9iTy39Zaj_7tE9677EGlOJ14KU9TZn7I"",""T1369"")"),11.946242275)</f>
        <v>11.946242274999999</v>
      </c>
      <c r="F502" s="100">
        <f ca="1">IFERROR(__xludf.DUMMYFUNCTION("C496*IMPORTRANGE(""https://docs.google.com/spreadsheets/d/1xsp01RMmkav9iTy39Zaj_7tE9677EGlOJ14KU9TZn7I"",""AC1369"")"),1970.2445972)</f>
        <v>1970.2445972</v>
      </c>
      <c r="G502" s="77" t="s">
        <v>8</v>
      </c>
      <c r="I502" s="2"/>
      <c r="J502" s="2"/>
      <c r="K502" s="4"/>
    </row>
    <row r="503" spans="1:11" ht="13.2" x14ac:dyDescent="0.25">
      <c r="A503" s="58"/>
      <c r="B503" s="59"/>
      <c r="C503" s="93"/>
      <c r="D503" s="93"/>
      <c r="E503" s="93"/>
      <c r="F503" s="93"/>
      <c r="G503" s="58"/>
      <c r="I503" s="113" t="s">
        <v>428</v>
      </c>
      <c r="J503" s="114" t="s">
        <v>1</v>
      </c>
      <c r="K503" s="115" t="s">
        <v>427</v>
      </c>
    </row>
    <row r="504" spans="1:11" ht="13.2" x14ac:dyDescent="0.25">
      <c r="A504" s="95">
        <v>44949</v>
      </c>
      <c r="B504" s="90">
        <v>31</v>
      </c>
      <c r="C504" s="63">
        <f>465.9/1000</f>
        <v>0.46589999999999998</v>
      </c>
      <c r="D504" s="96">
        <f ca="1">IFERROR(__xludf.DUMMYFUNCTION("C498*IMPORTRANGE(""https://docs.google.com/spreadsheets/d/1xsp01RMmkav9iTy39Zaj_7tE9677EGlOJ14KU9TZn7I"",""H1393"")"),0.4309411935)</f>
        <v>0.43094119349999999</v>
      </c>
      <c r="E504" s="96">
        <f ca="1">IFERROR(__xludf.DUMMYFUNCTION("C498*IMPORTRANGE(""https://docs.google.com/spreadsheets/d/1xsp01RMmkav9iTy39Zaj_7tE9677EGlOJ14KU9TZn7I"",""T1393"")"),0.381190062)</f>
        <v>0.381190062</v>
      </c>
      <c r="F504" s="96">
        <f ca="1">IFERROR(__xludf.DUMMYFUNCTION("C498*IMPORTRANGE(""https://docs.google.com/spreadsheets/d/1xsp01RMmkav9iTy39Zaj_7tE9677EGlOJ14KU9TZn7I"",""AC1393"")"),60.7342585659)</f>
        <v>60.734258565899999</v>
      </c>
      <c r="G504" s="61" t="s">
        <v>8</v>
      </c>
      <c r="I504" s="38"/>
      <c r="J504" s="39">
        <f t="shared" ref="J504:K504" si="1">SUM(B504:B514)</f>
        <v>466</v>
      </c>
      <c r="K504" s="40">
        <f t="shared" si="1"/>
        <v>49.297499999999999</v>
      </c>
    </row>
    <row r="505" spans="1:11" ht="13.2" x14ac:dyDescent="0.25">
      <c r="A505" s="97">
        <v>44980</v>
      </c>
      <c r="B505" s="91">
        <v>44</v>
      </c>
      <c r="C505" s="75">
        <f>1628.6/1000</f>
        <v>1.6285999999999998</v>
      </c>
      <c r="D505" s="98">
        <f ca="1">IFERROR(__xludf.DUMMYFUNCTION("C499*IMPORTRANGE(""https://docs.google.com/spreadsheets/d/1xsp01RMmkav9iTy39Zaj_7tE9677EGlOJ14KU9TZn7I"",""H1414"")"),1.51980952)</f>
        <v>1.5198095199999999</v>
      </c>
      <c r="E505" s="98">
        <f ca="1">IFERROR(__xludf.DUMMYFUNCTION("C499*IMPORTRANGE(""https://docs.google.com/spreadsheets/d/1xsp01RMmkav9iTy39Zaj_7tE9677EGlOJ14KU9TZn7I"",""T1414"")"),1.35115170399999)</f>
        <v>1.3511517039999901</v>
      </c>
      <c r="F505" s="98">
        <f ca="1">IFERROR(__xludf.DUMMYFUNCTION("C499*IMPORTRANGE(""https://docs.google.com/spreadsheets/d/1xsp01RMmkav9iTy39Zaj_7tE9677EGlOJ14KU9TZn7I"",""AC1414"")"),216.2894802)</f>
        <v>216.28948020000001</v>
      </c>
      <c r="G505" s="73" t="s">
        <v>8</v>
      </c>
    </row>
    <row r="506" spans="1:11" ht="13.2" x14ac:dyDescent="0.25">
      <c r="A506" s="95">
        <v>45008</v>
      </c>
      <c r="B506" s="90">
        <v>66</v>
      </c>
      <c r="C506" s="63">
        <f>2868.3/1000</f>
        <v>2.8683000000000001</v>
      </c>
      <c r="D506" s="96">
        <f ca="1">IFERROR(__xludf.DUMMYFUNCTION("C500*IMPORTRANGE(""https://docs.google.com/spreadsheets/d/1xsp01RMmkav9iTy39Zaj_7tE9677EGlOJ14KU9TZn7I"",""H1438"")"),2.68358148)</f>
        <v>2.68358148</v>
      </c>
      <c r="E506" s="96">
        <f ca="1">IFERROR(__xludf.DUMMYFUNCTION("C500*IMPORTRANGE(""https://docs.google.com/spreadsheets/d/1xsp01RMmkav9iTy39Zaj_7tE9677EGlOJ14KU9TZn7I"",""T1438"")"),2.36032407)</f>
        <v>2.3603240699999999</v>
      </c>
      <c r="F506" s="96">
        <f ca="1">IFERROR(__xludf.DUMMYFUNCTION("C500*IMPORTRANGE(""https://docs.google.com/spreadsheets/d/1xsp01RMmkav9iTy39Zaj_7tE9677EGlOJ14KU9TZn7I"",""AC1438"")"),382.0604397732)</f>
        <v>382.06043977320002</v>
      </c>
      <c r="G506" s="61" t="s">
        <v>8</v>
      </c>
    </row>
    <row r="507" spans="1:11" ht="13.2" x14ac:dyDescent="0.25">
      <c r="A507" s="97">
        <v>45039</v>
      </c>
      <c r="B507" s="91">
        <v>39</v>
      </c>
      <c r="C507" s="75">
        <f>7913.5/1000</f>
        <v>7.9135</v>
      </c>
      <c r="D507" s="98">
        <f ca="1">IFERROR(__xludf.DUMMYFUNCTION("C501*IMPORTRANGE(""https://docs.google.com/spreadsheets/d/1xsp01RMmkav9iTy39Zaj_7tE9677EGlOJ14KU9TZn7I"",""H1459"")"),7.216716325)</f>
        <v>7.2167163250000002</v>
      </c>
      <c r="E507" s="98">
        <f ca="1">IFERROR(__xludf.DUMMYFUNCTION("C501*IMPORTRANGE(""https://docs.google.com/spreadsheets/d/1xsp01RMmkav9iTy39Zaj_7tE9677EGlOJ14KU9TZn7I"",""T1459"")"),6.36373203025)</f>
        <v>6.3637320302499996</v>
      </c>
      <c r="F507" s="98">
        <f ca="1">IFERROR(__xludf.DUMMYFUNCTION("C501*IMPORTRANGE(""https://docs.google.com/spreadsheets/d/1xsp01RMmkav9iTy39Zaj_7tE9677EGlOJ14KU9TZn7I"",""AC1459"")"),1056.701477769)</f>
        <v>1056.7014777689999</v>
      </c>
      <c r="G507" s="73" t="s">
        <v>8</v>
      </c>
    </row>
    <row r="508" spans="1:11" ht="13.2" x14ac:dyDescent="0.25">
      <c r="A508" s="101">
        <v>45069</v>
      </c>
      <c r="B508" s="90">
        <v>42</v>
      </c>
      <c r="C508" s="63">
        <f>2275.7/1000</f>
        <v>2.2756999999999996</v>
      </c>
      <c r="D508" s="96">
        <f ca="1">IFERROR(__xludf.DUMMYFUNCTION("C502*IMPORTRANGE(""https://docs.google.com/spreadsheets/d/1xsp01RMmkav9iTy39Zaj_7tE9677EGlOJ14KU9TZn7I"",""H1483"")"),2.09439498099999)</f>
        <v>2.09439498099999</v>
      </c>
      <c r="E508" s="96">
        <f ca="1">IFERROR(__xludf.DUMMYFUNCTION("C502*IMPORTRANGE(""https://docs.google.com/spreadsheets/d/1xsp01RMmkav9iTy39Zaj_7tE9677EGlOJ14KU9TZn7I"",""T1483"")"),1.82306782139999)</f>
        <v>1.82306782139999</v>
      </c>
      <c r="F508" s="96">
        <f ca="1">IFERROR(__xludf.DUMMYFUNCTION("C502*IMPORTRANGE(""https://docs.google.com/spreadsheets/d/1xsp01RMmkav9iTy39Zaj_7tE9677EGlOJ14KU9TZn7I"",""AC1483"")"),310.5556762)</f>
        <v>310.55567619999999</v>
      </c>
      <c r="G508" s="61" t="s">
        <v>8</v>
      </c>
    </row>
    <row r="509" spans="1:11" ht="13.2" x14ac:dyDescent="0.25">
      <c r="A509" s="103">
        <v>45100</v>
      </c>
      <c r="B509" s="91">
        <v>42</v>
      </c>
      <c r="C509" s="75">
        <f>18537/1000</f>
        <v>18.536999999999999</v>
      </c>
      <c r="D509" s="98">
        <f ca="1">IFERROR(__xludf.DUMMYFUNCTION("C503*IMPORTRANGE(""https://docs.google.com/spreadsheets/d/1xsp01RMmkav9iTy39Zaj_7tE9677EGlOJ14KU9TZn7I"",""H1506"")"),17.095284825)</f>
        <v>17.095284825</v>
      </c>
      <c r="E509" s="98">
        <f ca="1">IFERROR(__xludf.DUMMYFUNCTION("C503*IMPORTRANGE(""https://docs.google.com/spreadsheets/d/1xsp01RMmkav9iTy39Zaj_7tE9677EGlOJ14KU9TZn7I"",""T1506"")"),14.6754648449999)</f>
        <v>14.675464844999899</v>
      </c>
      <c r="F509" s="98">
        <f ca="1">IFERROR(__xludf.DUMMYFUNCTION("C503*IMPORTRANGE(""https://docs.google.com/spreadsheets/d/1xsp01RMmkav9iTy39Zaj_7tE9677EGlOJ14KU9TZn7I"",""AC1506"")"),2599.582593111)</f>
        <v>2599.5825931109998</v>
      </c>
      <c r="G509" s="73" t="s">
        <v>8</v>
      </c>
    </row>
    <row r="510" spans="1:11" ht="13.2" x14ac:dyDescent="0.25">
      <c r="A510" s="95">
        <v>45130</v>
      </c>
      <c r="B510" s="90">
        <v>41</v>
      </c>
      <c r="C510" s="63">
        <f>2716.9/1000</f>
        <v>2.7168999999999999</v>
      </c>
      <c r="D510" s="96">
        <f ca="1">IFERROR(__xludf.DUMMYFUNCTION("C504*IMPORTRANGE(""https://docs.google.com/spreadsheets/d/1xsp01RMmkav9iTy39Zaj_7tE9677EGlOJ14KU9TZn7I"",""H1528"")"),2.458631486)</f>
        <v>2.4586314859999998</v>
      </c>
      <c r="E510" s="96">
        <f ca="1">IFERROR(__xludf.DUMMYFUNCTION("C504*IMPORTRANGE(""https://docs.google.com/spreadsheets/d/1xsp01RMmkav9iTy39Zaj_7tE9677EGlOJ14KU9TZn7I"",""T1528"")"),2.111900708)</f>
        <v>2.1119007079999998</v>
      </c>
      <c r="F510" s="96">
        <f ca="1">IFERROR(__xludf.DUMMYFUNCTION("C504*IMPORTRANGE(""https://docs.google.com/spreadsheets/d/1xsp01RMmkav9iTy39Zaj_7tE9677EGlOJ14KU9TZn7I"",""AC1528"")"),382.8465133986)</f>
        <v>382.8465133986</v>
      </c>
      <c r="G510" s="61" t="s">
        <v>8</v>
      </c>
    </row>
    <row r="511" spans="1:11" ht="13.2" x14ac:dyDescent="0.25">
      <c r="A511" s="104">
        <v>45161</v>
      </c>
      <c r="B511" s="91">
        <v>28</v>
      </c>
      <c r="C511" s="75">
        <f>1063.6/1000</f>
        <v>1.0635999999999999</v>
      </c>
      <c r="D511" s="98">
        <f ca="1">IFERROR(__xludf.DUMMYFUNCTION("C505*IMPORTRANGE(""https://docs.google.com/spreadsheets/d/1xsp01RMmkav9iTy39Zaj_7tE9677EGlOJ14KU9TZn7I"",""H1552"")"),0.974895759999999)</f>
        <v>0.974895759999999</v>
      </c>
      <c r="E511" s="98">
        <f ca="1">IFERROR(__xludf.DUMMYFUNCTION("C505*IMPORTRANGE(""https://docs.google.com/spreadsheets/d/1xsp01RMmkav9iTy39Zaj_7tE9677EGlOJ14KU9TZn7I"",""T1552"")"),0.836138503999999)</f>
        <v>0.83613850399999901</v>
      </c>
      <c r="F511" s="98">
        <f ca="1">IFERROR(__xludf.DUMMYFUNCTION("C505*IMPORTRANGE(""https://docs.google.com/spreadsheets/d/1xsp01RMmkav9iTy39Zaj_7tE9677EGlOJ14KU9TZn7I"",""AC1552"")"),154.546390554799)</f>
        <v>154.54639055479899</v>
      </c>
      <c r="G511" s="73" t="s">
        <v>8</v>
      </c>
    </row>
    <row r="512" spans="1:11" ht="13.2" x14ac:dyDescent="0.25">
      <c r="A512" s="95">
        <v>45192</v>
      </c>
      <c r="B512" s="62">
        <v>44</v>
      </c>
      <c r="C512" s="63">
        <f>7544.7/1000</f>
        <v>7.5446999999999997</v>
      </c>
      <c r="D512" s="72">
        <f ca="1">IFERROR(__xludf.DUMMYFUNCTION("C506*IMPORTRANGE(""https://docs.google.com/spreadsheets/d/1xsp01RMmkav9iTy39Zaj_7tE9677EGlOJ14KU9TZn7I"",""H1574"")"),7.055954334)</f>
        <v>7.0559543339999999</v>
      </c>
      <c r="E512" s="72">
        <f ca="1">IFERROR(__xludf.DUMMYFUNCTION("C506*IMPORTRANGE(""https://docs.google.com/spreadsheets/d/1xsp01RMmkav9iTy39Zaj_7tE9677EGlOJ14KU9TZn7I"",""T1574"")"),6.083517951)</f>
        <v>6.0835179510000001</v>
      </c>
      <c r="F512" s="72">
        <f ca="1">IFERROR(__xludf.DUMMYFUNCTION("C506*IMPORTRANGE(""https://docs.google.com/spreadsheets/d/1xsp01RMmkav9iTy39Zaj_7tE9677EGlOJ14KU9TZn7I"",""AC1574"")"),1113.63541332119)</f>
        <v>1113.6354133211901</v>
      </c>
      <c r="G512" s="61" t="s">
        <v>8</v>
      </c>
    </row>
    <row r="513" spans="1:11" ht="13.2" x14ac:dyDescent="0.25">
      <c r="A513" s="97">
        <v>45222</v>
      </c>
      <c r="B513" s="74">
        <v>48</v>
      </c>
      <c r="C513" s="75">
        <f>1314.2/1000</f>
        <v>1.3142</v>
      </c>
      <c r="D513" s="75">
        <f ca="1">IFERROR(__xludf.DUMMYFUNCTION("C507*IMPORTRANGE(""https://docs.google.com/spreadsheets/d/1xsp01RMmkav9iTy39Zaj_7tE9677EGlOJ14KU9TZn7I"",""H1597"")"),1.243772022)</f>
        <v>1.2437720219999999</v>
      </c>
      <c r="E513" s="75">
        <f ca="1">IFERROR(__xludf.DUMMYFUNCTION("C507*IMPORTRANGE(""https://docs.google.com/spreadsheets/d/1xsp01RMmkav9iTy39Zaj_7tE9677EGlOJ14KU9TZn7I"",""T1597"")"),1.080495814)</f>
        <v>1.0804958140000001</v>
      </c>
      <c r="F513" s="75">
        <f ca="1">IFERROR(__xludf.DUMMYFUNCTION("C507*IMPORTRANGE(""https://docs.google.com/spreadsheets/d/1xsp01RMmkav9iTy39Zaj_7tE9677EGlOJ14KU9TZn7I"",""AC1597"")"),196.7850264426)</f>
        <v>196.78502644260001</v>
      </c>
      <c r="G513" s="73" t="s">
        <v>8</v>
      </c>
    </row>
    <row r="514" spans="1:11" ht="13.2" x14ac:dyDescent="0.25">
      <c r="A514" s="95">
        <v>45253</v>
      </c>
      <c r="B514" s="62">
        <v>41</v>
      </c>
      <c r="C514" s="63">
        <f>2969.1/1000</f>
        <v>2.9691000000000001</v>
      </c>
      <c r="D514" s="63">
        <f ca="1">IFERROR(__xludf.DUMMYFUNCTION("C508*IMPORTRANGE(""https://docs.google.com/spreadsheets/d/1xsp01RMmkav9iTy39Zaj_7tE9677EGlOJ14KU9TZn7I"",""H1620"")"),2.7354466755)</f>
        <v>2.7354466755</v>
      </c>
      <c r="E514" s="63">
        <f ca="1">IFERROR(__xludf.DUMMYFUNCTION("C508*IMPORTRANGE(""https://docs.google.com/spreadsheets/d/1xsp01RMmkav9iTy39Zaj_7tE9677EGlOJ14KU9TZn7I"",""T1620"")"),2.390838084)</f>
        <v>2.3908380839999999</v>
      </c>
      <c r="F514" s="63">
        <f ca="1">IFERROR(__xludf.DUMMYFUNCTION("C508*IMPORTRANGE(""https://docs.google.com/spreadsheets/d/1xsp01RMmkav9iTy39Zaj_7tE9677EGlOJ14KU9TZn7I"",""AC1620"")"),445.9365428427)</f>
        <v>445.93654284270002</v>
      </c>
      <c r="G514" s="61" t="s">
        <v>8</v>
      </c>
    </row>
    <row r="515" spans="1:11" ht="13.2" x14ac:dyDescent="0.25">
      <c r="A515" s="105">
        <v>45283</v>
      </c>
      <c r="B515" s="106">
        <v>40</v>
      </c>
      <c r="C515" s="102">
        <f>1463.5/1000</f>
        <v>1.4635</v>
      </c>
      <c r="D515" s="79">
        <f ca="1">IFERROR(__xludf.DUMMYFUNCTION("C275*IMPORTRANGE(""https://docs.google.com/spreadsheets/d/1xsp01RMmkav9iTy39Zaj_7tE9677EGlOJ14KU9TZn7I"",""H1642"")"),4.150243694)</f>
        <v>4.1502436940000003</v>
      </c>
      <c r="E515" s="79">
        <f ca="1">IFERROR(__xludf.DUMMYFUNCTION("C275*IMPORTRANGE(""https://docs.google.com/spreadsheets/d/1xsp01RMmkav9iTy39Zaj_7tE9677EGlOJ14KU9TZn7I"",""T1642"")"),3.57403071999999)</f>
        <v>3.5740307199999899</v>
      </c>
      <c r="F515" s="79">
        <f ca="1">IFERROR(__xludf.DUMMYFUNCTION("C275*IMPORTRANGE(""https://docs.google.com/spreadsheets/d/1xsp01RMmkav9iTy39Zaj_7tE9677EGlOJ14KU9TZn7I"",""AC1642"")"),648.982278791)</f>
        <v>648.982278791</v>
      </c>
      <c r="G515" s="77" t="s">
        <v>8</v>
      </c>
    </row>
    <row r="516" spans="1:11" ht="13.2" x14ac:dyDescent="0.25">
      <c r="A516" s="58"/>
      <c r="B516" s="59"/>
      <c r="C516" s="93"/>
      <c r="D516" s="93"/>
      <c r="E516" s="93"/>
      <c r="F516" s="93"/>
      <c r="G516" s="58"/>
      <c r="H516" s="2"/>
      <c r="I516" s="116" t="s">
        <v>429</v>
      </c>
      <c r="J516" s="114" t="s">
        <v>1</v>
      </c>
      <c r="K516" s="115" t="s">
        <v>427</v>
      </c>
    </row>
    <row r="517" spans="1:11" ht="13.2" x14ac:dyDescent="0.25">
      <c r="A517" s="107">
        <v>45322</v>
      </c>
      <c r="B517" s="62">
        <v>35</v>
      </c>
      <c r="C517" s="63">
        <f>510.5/1000</f>
        <v>0.51049999999999995</v>
      </c>
      <c r="D517" s="108">
        <f ca="1">IFERROR(__xludf.DUMMYFUNCTION("C511*IMPORTRANGE(""https://docs.google.com/spreadsheets/d/1xsp01RMmkav9iTy39Zaj_7tE9677EGlOJ14KU9TZn7I"",""H1667"")"),0.467158549999999)</f>
        <v>0.46715854999999901</v>
      </c>
      <c r="E517" s="108">
        <f ca="1">IFERROR(__xludf.DUMMYFUNCTION("C511*IMPORTRANGE(""https://docs.google.com/spreadsheets/d/1xsp01RMmkav9iTy39Zaj_7tE9677EGlOJ14KU9TZn7I"",""T1667"")"),0.401656294999999)</f>
        <v>0.401656294999999</v>
      </c>
      <c r="F517" s="108">
        <f ca="1">IFERROR(__xludf.DUMMYFUNCTION("C511*IMPORTRANGE(""https://docs.google.com/spreadsheets/d/1xsp01RMmkav9iTy39Zaj_7tE9677EGlOJ14KU9TZn7I"",""AC1667"")"),74.4278400629999)</f>
        <v>74.427840062999906</v>
      </c>
      <c r="G517" s="61" t="s">
        <v>8</v>
      </c>
      <c r="H517" s="2"/>
      <c r="I517" s="38"/>
      <c r="J517" s="39">
        <f t="shared" ref="J517:K517" si="2">SUM(B517:B519)</f>
        <v>119</v>
      </c>
      <c r="K517" s="40">
        <f t="shared" si="2"/>
        <v>2.7849999999999997</v>
      </c>
    </row>
    <row r="518" spans="1:11" ht="13.2" x14ac:dyDescent="0.25">
      <c r="A518" s="109">
        <v>45323</v>
      </c>
      <c r="B518" s="74">
        <v>46</v>
      </c>
      <c r="C518" s="75">
        <f>1678.6/1000</f>
        <v>1.6785999999999999</v>
      </c>
      <c r="D518" s="110">
        <f ca="1">IFERROR(__xludf.DUMMYFUNCTION("C512*IMPORTRANGE(""https://docs.google.com/spreadsheets/d/1xsp01RMmkav9iTy39Zaj_7tE9677EGlOJ14KU9TZn7I"",""H1689"")"),1.55547468999999)</f>
        <v>1.5554746899999901</v>
      </c>
      <c r="E518" s="110">
        <f ca="1">IFERROR(__xludf.DUMMYFUNCTION("C512*IMPORTRANGE(""https://docs.google.com/spreadsheets/d/1xsp01RMmkav9iTy39Zaj_7tE9677EGlOJ14KU9TZn7I"",""T1689"")"),1.329333698)</f>
        <v>1.3293336979999999</v>
      </c>
      <c r="F518" s="110">
        <f ca="1">IFERROR(__xludf.DUMMYFUNCTION("C512*IMPORTRANGE(""https://docs.google.com/spreadsheets/d/1xsp01RMmkav9iTy39Zaj_7tE9677EGlOJ14KU9TZn7I"",""AC1689"")"),251.6934754642)</f>
        <v>251.69347546419999</v>
      </c>
      <c r="G518" s="73" t="s">
        <v>8</v>
      </c>
      <c r="H518" s="2"/>
      <c r="I518" s="2"/>
      <c r="J518" s="2"/>
      <c r="K518" s="2"/>
    </row>
    <row r="519" spans="1:11" ht="13.2" x14ac:dyDescent="0.25">
      <c r="A519" s="107">
        <v>45352</v>
      </c>
      <c r="B519" s="62">
        <v>38</v>
      </c>
      <c r="C519" s="63">
        <f>595.9/1000</f>
        <v>0.59589999999999999</v>
      </c>
      <c r="D519" s="108">
        <f ca="1">IFERROR(__xludf.DUMMYFUNCTION("C513*IMPORTRANGE(""https://docs.google.com/spreadsheets/d/1xsp01RMmkav9iTy39Zaj_7tE9677EGlOJ14KU9TZn7I"",""H1712"")"),0.548543826999999)</f>
        <v>0.54854382699999904</v>
      </c>
      <c r="E519" s="108">
        <f ca="1">IFERROR(__xludf.DUMMYFUNCTION("C513*IMPORTRANGE(""https://docs.google.com/spreadsheets/d/1xsp01RMmkav9iTy39Zaj_7tE9677EGlOJ14KU9TZn7I"",""T1712"")"),0.46849658)</f>
        <v>0.46849658</v>
      </c>
      <c r="F519" s="108">
        <f ca="1">IFERROR(__xludf.DUMMYFUNCTION("C513*IMPORTRANGE(""https://docs.google.com/spreadsheets/d/1xsp01RMmkav9iTy39Zaj_7tE9677EGlOJ14KU9TZn7I"",""AC1712"")"),89.4445891061499)</f>
        <v>89.444589106149905</v>
      </c>
      <c r="G519" s="61" t="s">
        <v>8</v>
      </c>
      <c r="H519" s="2"/>
      <c r="I519" s="2"/>
      <c r="J519" s="2"/>
      <c r="K519" s="2"/>
    </row>
    <row r="520" spans="1:11" ht="13.2" x14ac:dyDescent="0.25">
      <c r="G520" s="2"/>
    </row>
    <row r="521" spans="1:11" ht="13.2" x14ac:dyDescent="0.25">
      <c r="G521" s="2"/>
    </row>
    <row r="522" spans="1:11" ht="13.2" x14ac:dyDescent="0.25">
      <c r="G522" s="2"/>
    </row>
    <row r="523" spans="1:11" ht="13.2" x14ac:dyDescent="0.25">
      <c r="G523" s="2"/>
    </row>
    <row r="524" spans="1:11" ht="13.2" x14ac:dyDescent="0.25">
      <c r="G524" s="2"/>
    </row>
    <row r="525" spans="1:11" ht="13.2" x14ac:dyDescent="0.25">
      <c r="G525" s="2"/>
    </row>
    <row r="526" spans="1:11" ht="13.2" x14ac:dyDescent="0.25">
      <c r="G526" s="2"/>
    </row>
    <row r="527" spans="1:11" ht="13.2" x14ac:dyDescent="0.25">
      <c r="G527" s="2"/>
    </row>
    <row r="528" spans="1:11" ht="13.2" x14ac:dyDescent="0.25">
      <c r="G528" s="2"/>
    </row>
    <row r="529" spans="7:7" ht="13.2" x14ac:dyDescent="0.25">
      <c r="G529" s="2"/>
    </row>
    <row r="530" spans="7:7" ht="13.2" x14ac:dyDescent="0.25">
      <c r="G530" s="2"/>
    </row>
    <row r="531" spans="7:7" ht="13.2" x14ac:dyDescent="0.25">
      <c r="G531" s="2"/>
    </row>
    <row r="532" spans="7:7" ht="13.2" x14ac:dyDescent="0.25">
      <c r="G532" s="2"/>
    </row>
    <row r="533" spans="7:7" ht="13.2" x14ac:dyDescent="0.25">
      <c r="G533" s="2"/>
    </row>
    <row r="534" spans="7:7" ht="13.2" x14ac:dyDescent="0.25">
      <c r="G534" s="2"/>
    </row>
    <row r="535" spans="7:7" ht="13.2" x14ac:dyDescent="0.25">
      <c r="G535" s="2"/>
    </row>
    <row r="536" spans="7:7" ht="13.2" x14ac:dyDescent="0.25">
      <c r="G536" s="2"/>
    </row>
    <row r="537" spans="7:7" ht="13.2" x14ac:dyDescent="0.25">
      <c r="G537" s="2"/>
    </row>
    <row r="538" spans="7:7" ht="13.2" x14ac:dyDescent="0.25">
      <c r="G538" s="2"/>
    </row>
    <row r="539" spans="7:7" ht="13.2" x14ac:dyDescent="0.25">
      <c r="G539" s="2"/>
    </row>
    <row r="540" spans="7:7" ht="13.2" x14ac:dyDescent="0.25">
      <c r="G540" s="2"/>
    </row>
    <row r="541" spans="7:7" ht="13.2" x14ac:dyDescent="0.25">
      <c r="G541" s="2"/>
    </row>
    <row r="542" spans="7:7" ht="13.2" x14ac:dyDescent="0.25">
      <c r="G542" s="2"/>
    </row>
    <row r="543" spans="7:7" ht="13.2" x14ac:dyDescent="0.25">
      <c r="G543" s="2"/>
    </row>
    <row r="544" spans="7:7" ht="13.2" x14ac:dyDescent="0.25">
      <c r="G544" s="2"/>
    </row>
    <row r="545" spans="7:7" ht="13.2" x14ac:dyDescent="0.25">
      <c r="G545" s="2"/>
    </row>
    <row r="546" spans="7:7" ht="13.2" x14ac:dyDescent="0.25">
      <c r="G546" s="2"/>
    </row>
    <row r="547" spans="7:7" ht="13.2" x14ac:dyDescent="0.25">
      <c r="G547" s="2"/>
    </row>
    <row r="548" spans="7:7" ht="13.2" x14ac:dyDescent="0.25">
      <c r="G548" s="2"/>
    </row>
    <row r="549" spans="7:7" ht="13.2" x14ac:dyDescent="0.25">
      <c r="G549" s="2"/>
    </row>
    <row r="550" spans="7:7" ht="13.2" x14ac:dyDescent="0.25">
      <c r="G550" s="2"/>
    </row>
    <row r="551" spans="7:7" ht="13.2" x14ac:dyDescent="0.25">
      <c r="G551" s="2"/>
    </row>
    <row r="552" spans="7:7" ht="13.2" x14ac:dyDescent="0.25">
      <c r="G552" s="2"/>
    </row>
    <row r="553" spans="7:7" ht="13.2" x14ac:dyDescent="0.25">
      <c r="G553" s="2"/>
    </row>
    <row r="554" spans="7:7" ht="13.2" x14ac:dyDescent="0.25">
      <c r="G554" s="2"/>
    </row>
    <row r="555" spans="7:7" ht="13.2" x14ac:dyDescent="0.25">
      <c r="G555" s="2"/>
    </row>
    <row r="556" spans="7:7" ht="13.2" x14ac:dyDescent="0.25">
      <c r="G556" s="2"/>
    </row>
    <row r="557" spans="7:7" ht="13.2" x14ac:dyDescent="0.25">
      <c r="G557" s="2"/>
    </row>
    <row r="558" spans="7:7" ht="13.2" x14ac:dyDescent="0.25">
      <c r="G558" s="2"/>
    </row>
    <row r="559" spans="7:7" ht="13.2" x14ac:dyDescent="0.25">
      <c r="G559" s="2"/>
    </row>
    <row r="560" spans="7:7" ht="13.2" x14ac:dyDescent="0.25">
      <c r="G560" s="2"/>
    </row>
    <row r="561" spans="7:7" ht="13.2" x14ac:dyDescent="0.25">
      <c r="G561" s="2"/>
    </row>
    <row r="562" spans="7:7" ht="13.2" x14ac:dyDescent="0.25">
      <c r="G562" s="2"/>
    </row>
    <row r="563" spans="7:7" ht="13.2" x14ac:dyDescent="0.25">
      <c r="G563" s="2"/>
    </row>
    <row r="564" spans="7:7" ht="13.2" x14ac:dyDescent="0.25">
      <c r="G564" s="2"/>
    </row>
    <row r="565" spans="7:7" ht="13.2" x14ac:dyDescent="0.25">
      <c r="G565" s="2"/>
    </row>
    <row r="566" spans="7:7" ht="13.2" x14ac:dyDescent="0.25">
      <c r="G566" s="2"/>
    </row>
    <row r="567" spans="7:7" ht="13.2" x14ac:dyDescent="0.25">
      <c r="G567" s="2"/>
    </row>
    <row r="568" spans="7:7" ht="13.2" x14ac:dyDescent="0.25">
      <c r="G568" s="2"/>
    </row>
    <row r="569" spans="7:7" ht="13.2" x14ac:dyDescent="0.25">
      <c r="G569" s="2"/>
    </row>
    <row r="570" spans="7:7" ht="13.2" x14ac:dyDescent="0.25">
      <c r="G570" s="2"/>
    </row>
    <row r="571" spans="7:7" ht="13.2" x14ac:dyDescent="0.25">
      <c r="G571" s="2"/>
    </row>
    <row r="572" spans="7:7" ht="13.2" x14ac:dyDescent="0.25">
      <c r="G572" s="2"/>
    </row>
    <row r="573" spans="7:7" ht="13.2" x14ac:dyDescent="0.25">
      <c r="G573" s="2"/>
    </row>
    <row r="574" spans="7:7" ht="13.2" x14ac:dyDescent="0.25">
      <c r="G574" s="2"/>
    </row>
    <row r="575" spans="7:7" ht="13.2" x14ac:dyDescent="0.25">
      <c r="G575" s="2"/>
    </row>
    <row r="576" spans="7:7" ht="13.2" x14ac:dyDescent="0.25">
      <c r="G576" s="2"/>
    </row>
    <row r="577" spans="7:7" ht="13.2" x14ac:dyDescent="0.25">
      <c r="G577" s="2"/>
    </row>
    <row r="578" spans="7:7" ht="13.2" x14ac:dyDescent="0.25">
      <c r="G578" s="2"/>
    </row>
    <row r="579" spans="7:7" ht="13.2" x14ac:dyDescent="0.25">
      <c r="G579" s="2"/>
    </row>
    <row r="580" spans="7:7" ht="13.2" x14ac:dyDescent="0.25">
      <c r="G580" s="2"/>
    </row>
    <row r="581" spans="7:7" ht="13.2" x14ac:dyDescent="0.25">
      <c r="G581" s="2"/>
    </row>
    <row r="582" spans="7:7" ht="13.2" x14ac:dyDescent="0.25">
      <c r="G582" s="2"/>
    </row>
    <row r="583" spans="7:7" ht="13.2" x14ac:dyDescent="0.25">
      <c r="G583" s="2"/>
    </row>
    <row r="584" spans="7:7" ht="13.2" x14ac:dyDescent="0.25">
      <c r="G584" s="2"/>
    </row>
    <row r="585" spans="7:7" ht="13.2" x14ac:dyDescent="0.25">
      <c r="G585" s="2"/>
    </row>
    <row r="586" spans="7:7" ht="13.2" x14ac:dyDescent="0.25">
      <c r="G586" s="2"/>
    </row>
    <row r="587" spans="7:7" ht="13.2" x14ac:dyDescent="0.25">
      <c r="G587" s="2"/>
    </row>
    <row r="588" spans="7:7" ht="13.2" x14ac:dyDescent="0.25">
      <c r="G588" s="2"/>
    </row>
    <row r="589" spans="7:7" ht="13.2" x14ac:dyDescent="0.25">
      <c r="G589" s="2"/>
    </row>
    <row r="590" spans="7:7" ht="13.2" x14ac:dyDescent="0.25">
      <c r="G590" s="2"/>
    </row>
    <row r="591" spans="7:7" ht="13.2" x14ac:dyDescent="0.25">
      <c r="G591" s="2"/>
    </row>
    <row r="592" spans="7:7" ht="13.2" x14ac:dyDescent="0.25">
      <c r="G592" s="2"/>
    </row>
    <row r="593" spans="7:7" ht="13.2" x14ac:dyDescent="0.25">
      <c r="G593" s="2"/>
    </row>
    <row r="594" spans="7:7" ht="13.2" x14ac:dyDescent="0.25">
      <c r="G594" s="2"/>
    </row>
    <row r="595" spans="7:7" ht="13.2" x14ac:dyDescent="0.25">
      <c r="G595" s="2"/>
    </row>
    <row r="596" spans="7:7" ht="13.2" x14ac:dyDescent="0.25">
      <c r="G596" s="2"/>
    </row>
    <row r="597" spans="7:7" ht="13.2" x14ac:dyDescent="0.25">
      <c r="G597" s="2"/>
    </row>
    <row r="598" spans="7:7" ht="13.2" x14ac:dyDescent="0.25">
      <c r="G598" s="2"/>
    </row>
    <row r="599" spans="7:7" ht="13.2" x14ac:dyDescent="0.25">
      <c r="G599" s="2"/>
    </row>
    <row r="600" spans="7:7" ht="13.2" x14ac:dyDescent="0.25">
      <c r="G600" s="2"/>
    </row>
    <row r="601" spans="7:7" ht="13.2" x14ac:dyDescent="0.25">
      <c r="G601" s="2"/>
    </row>
    <row r="602" spans="7:7" ht="13.2" x14ac:dyDescent="0.25">
      <c r="G602" s="2"/>
    </row>
    <row r="603" spans="7:7" ht="13.2" x14ac:dyDescent="0.25">
      <c r="G603" s="2"/>
    </row>
    <row r="604" spans="7:7" ht="13.2" x14ac:dyDescent="0.25">
      <c r="G604" s="2"/>
    </row>
    <row r="605" spans="7:7" ht="13.2" x14ac:dyDescent="0.25">
      <c r="G605" s="2"/>
    </row>
    <row r="606" spans="7:7" ht="13.2" x14ac:dyDescent="0.25">
      <c r="G606" s="2"/>
    </row>
    <row r="607" spans="7:7" ht="13.2" x14ac:dyDescent="0.25">
      <c r="G607" s="2"/>
    </row>
    <row r="608" spans="7:7" ht="13.2" x14ac:dyDescent="0.25">
      <c r="G608" s="2"/>
    </row>
    <row r="609" spans="7:7" ht="13.2" x14ac:dyDescent="0.25">
      <c r="G609" s="2"/>
    </row>
    <row r="610" spans="7:7" ht="13.2" x14ac:dyDescent="0.25">
      <c r="G610" s="2"/>
    </row>
    <row r="611" spans="7:7" ht="13.2" x14ac:dyDescent="0.25">
      <c r="G611" s="2"/>
    </row>
    <row r="612" spans="7:7" ht="13.2" x14ac:dyDescent="0.25">
      <c r="G612" s="2"/>
    </row>
    <row r="613" spans="7:7" ht="13.2" x14ac:dyDescent="0.25">
      <c r="G613" s="2"/>
    </row>
    <row r="614" spans="7:7" ht="13.2" x14ac:dyDescent="0.25">
      <c r="G614" s="2"/>
    </row>
    <row r="615" spans="7:7" ht="13.2" x14ac:dyDescent="0.25">
      <c r="G615" s="2"/>
    </row>
    <row r="616" spans="7:7" ht="13.2" x14ac:dyDescent="0.25">
      <c r="G616" s="2"/>
    </row>
    <row r="617" spans="7:7" ht="13.2" x14ac:dyDescent="0.25">
      <c r="G617" s="2"/>
    </row>
    <row r="618" spans="7:7" ht="13.2" x14ac:dyDescent="0.25">
      <c r="G618" s="2"/>
    </row>
    <row r="619" spans="7:7" ht="13.2" x14ac:dyDescent="0.25">
      <c r="G619" s="2"/>
    </row>
    <row r="620" spans="7:7" ht="13.2" x14ac:dyDescent="0.25">
      <c r="G620" s="2"/>
    </row>
    <row r="621" spans="7:7" ht="13.2" x14ac:dyDescent="0.25">
      <c r="G621" s="2"/>
    </row>
    <row r="622" spans="7:7" ht="13.2" x14ac:dyDescent="0.25">
      <c r="G622" s="2"/>
    </row>
    <row r="623" spans="7:7" ht="13.2" x14ac:dyDescent="0.25">
      <c r="G623" s="2"/>
    </row>
    <row r="624" spans="7:7" ht="13.2" x14ac:dyDescent="0.25">
      <c r="G624" s="2"/>
    </row>
    <row r="625" spans="7:7" ht="13.2" x14ac:dyDescent="0.25">
      <c r="G625" s="2"/>
    </row>
    <row r="626" spans="7:7" ht="13.2" x14ac:dyDescent="0.25">
      <c r="G626" s="2"/>
    </row>
    <row r="627" spans="7:7" ht="13.2" x14ac:dyDescent="0.25">
      <c r="G627" s="2"/>
    </row>
    <row r="628" spans="7:7" ht="13.2" x14ac:dyDescent="0.25">
      <c r="G628" s="2"/>
    </row>
    <row r="629" spans="7:7" ht="13.2" x14ac:dyDescent="0.25">
      <c r="G629" s="2"/>
    </row>
    <row r="630" spans="7:7" ht="13.2" x14ac:dyDescent="0.25">
      <c r="G630" s="2"/>
    </row>
    <row r="631" spans="7:7" ht="13.2" x14ac:dyDescent="0.25">
      <c r="G631" s="2"/>
    </row>
    <row r="632" spans="7:7" ht="13.2" x14ac:dyDescent="0.25">
      <c r="G632" s="2"/>
    </row>
    <row r="633" spans="7:7" ht="13.2" x14ac:dyDescent="0.25">
      <c r="G633" s="2"/>
    </row>
    <row r="634" spans="7:7" ht="13.2" x14ac:dyDescent="0.25">
      <c r="G634" s="2"/>
    </row>
    <row r="635" spans="7:7" ht="13.2" x14ac:dyDescent="0.25">
      <c r="G635" s="2"/>
    </row>
    <row r="636" spans="7:7" ht="13.2" x14ac:dyDescent="0.25">
      <c r="G636" s="2"/>
    </row>
    <row r="637" spans="7:7" ht="13.2" x14ac:dyDescent="0.25">
      <c r="G637" s="2"/>
    </row>
    <row r="638" spans="7:7" ht="13.2" x14ac:dyDescent="0.25">
      <c r="G638" s="2"/>
    </row>
    <row r="639" spans="7:7" ht="13.2" x14ac:dyDescent="0.25">
      <c r="G639" s="2"/>
    </row>
    <row r="640" spans="7:7" ht="13.2" x14ac:dyDescent="0.25">
      <c r="G640" s="2"/>
    </row>
    <row r="641" spans="7:7" ht="13.2" x14ac:dyDescent="0.25">
      <c r="G641" s="2"/>
    </row>
    <row r="642" spans="7:7" ht="13.2" x14ac:dyDescent="0.25">
      <c r="G642" s="2"/>
    </row>
    <row r="643" spans="7:7" ht="13.2" x14ac:dyDescent="0.25">
      <c r="G643" s="2"/>
    </row>
    <row r="644" spans="7:7" ht="13.2" x14ac:dyDescent="0.25">
      <c r="G644" s="2"/>
    </row>
    <row r="645" spans="7:7" ht="13.2" x14ac:dyDescent="0.25">
      <c r="G645" s="2"/>
    </row>
    <row r="646" spans="7:7" ht="13.2" x14ac:dyDescent="0.25">
      <c r="G646" s="2"/>
    </row>
    <row r="647" spans="7:7" ht="13.2" x14ac:dyDescent="0.25">
      <c r="G647" s="2"/>
    </row>
    <row r="648" spans="7:7" ht="13.2" x14ac:dyDescent="0.25">
      <c r="G648" s="2"/>
    </row>
    <row r="649" spans="7:7" ht="13.2" x14ac:dyDescent="0.25">
      <c r="G649" s="2"/>
    </row>
    <row r="650" spans="7:7" ht="13.2" x14ac:dyDescent="0.25">
      <c r="G650" s="2"/>
    </row>
    <row r="651" spans="7:7" ht="13.2" x14ac:dyDescent="0.25">
      <c r="G651" s="2"/>
    </row>
    <row r="652" spans="7:7" ht="13.2" x14ac:dyDescent="0.25">
      <c r="G652" s="2"/>
    </row>
    <row r="653" spans="7:7" ht="13.2" x14ac:dyDescent="0.25">
      <c r="G653" s="2"/>
    </row>
    <row r="654" spans="7:7" ht="13.2" x14ac:dyDescent="0.25">
      <c r="G654" s="2"/>
    </row>
    <row r="655" spans="7:7" ht="13.2" x14ac:dyDescent="0.25">
      <c r="G655" s="2"/>
    </row>
    <row r="656" spans="7:7" ht="13.2" x14ac:dyDescent="0.25">
      <c r="G656" s="2"/>
    </row>
    <row r="657" spans="7:7" ht="13.2" x14ac:dyDescent="0.25">
      <c r="G657" s="2"/>
    </row>
    <row r="658" spans="7:7" ht="13.2" x14ac:dyDescent="0.25">
      <c r="G658" s="2"/>
    </row>
    <row r="659" spans="7:7" ht="13.2" x14ac:dyDescent="0.25">
      <c r="G659" s="2"/>
    </row>
    <row r="660" spans="7:7" ht="13.2" x14ac:dyDescent="0.25">
      <c r="G660" s="2"/>
    </row>
    <row r="661" spans="7:7" ht="13.2" x14ac:dyDescent="0.25">
      <c r="G661" s="2"/>
    </row>
    <row r="662" spans="7:7" ht="13.2" x14ac:dyDescent="0.25">
      <c r="G662" s="2"/>
    </row>
    <row r="663" spans="7:7" ht="13.2" x14ac:dyDescent="0.25">
      <c r="G663" s="2"/>
    </row>
    <row r="664" spans="7:7" ht="13.2" x14ac:dyDescent="0.25">
      <c r="G664" s="2"/>
    </row>
    <row r="665" spans="7:7" ht="13.2" x14ac:dyDescent="0.25">
      <c r="G665" s="2"/>
    </row>
    <row r="666" spans="7:7" ht="13.2" x14ac:dyDescent="0.25">
      <c r="G666" s="2"/>
    </row>
    <row r="667" spans="7:7" ht="13.2" x14ac:dyDescent="0.25">
      <c r="G667" s="2"/>
    </row>
    <row r="668" spans="7:7" ht="13.2" x14ac:dyDescent="0.25">
      <c r="G668" s="2"/>
    </row>
    <row r="669" spans="7:7" ht="13.2" x14ac:dyDescent="0.25">
      <c r="G669" s="2"/>
    </row>
    <row r="670" spans="7:7" ht="13.2" x14ac:dyDescent="0.25">
      <c r="G670" s="2"/>
    </row>
    <row r="671" spans="7:7" ht="13.2" x14ac:dyDescent="0.25">
      <c r="G671" s="2"/>
    </row>
    <row r="672" spans="7:7" ht="13.2" x14ac:dyDescent="0.25">
      <c r="G672" s="2"/>
    </row>
    <row r="673" spans="7:7" ht="13.2" x14ac:dyDescent="0.25">
      <c r="G673" s="2"/>
    </row>
    <row r="674" spans="7:7" ht="13.2" x14ac:dyDescent="0.25">
      <c r="G674" s="2"/>
    </row>
    <row r="675" spans="7:7" ht="13.2" x14ac:dyDescent="0.25">
      <c r="G675" s="2"/>
    </row>
    <row r="676" spans="7:7" ht="13.2" x14ac:dyDescent="0.25">
      <c r="G676" s="2"/>
    </row>
    <row r="677" spans="7:7" ht="13.2" x14ac:dyDescent="0.25">
      <c r="G677" s="2"/>
    </row>
    <row r="678" spans="7:7" ht="13.2" x14ac:dyDescent="0.25">
      <c r="G678" s="2"/>
    </row>
    <row r="679" spans="7:7" ht="13.2" x14ac:dyDescent="0.25">
      <c r="G679" s="2"/>
    </row>
    <row r="680" spans="7:7" ht="13.2" x14ac:dyDescent="0.25">
      <c r="G680" s="2"/>
    </row>
    <row r="681" spans="7:7" ht="13.2" x14ac:dyDescent="0.25">
      <c r="G681" s="2"/>
    </row>
    <row r="682" spans="7:7" ht="13.2" x14ac:dyDescent="0.25">
      <c r="G682" s="2"/>
    </row>
    <row r="683" spans="7:7" ht="13.2" x14ac:dyDescent="0.25">
      <c r="G683" s="2"/>
    </row>
    <row r="684" spans="7:7" ht="13.2" x14ac:dyDescent="0.25">
      <c r="G684" s="2"/>
    </row>
    <row r="685" spans="7:7" ht="13.2" x14ac:dyDescent="0.25">
      <c r="G685" s="2"/>
    </row>
    <row r="686" spans="7:7" ht="13.2" x14ac:dyDescent="0.25">
      <c r="G686" s="2"/>
    </row>
    <row r="687" spans="7:7" ht="13.2" x14ac:dyDescent="0.25">
      <c r="G687" s="2"/>
    </row>
    <row r="688" spans="7:7" ht="13.2" x14ac:dyDescent="0.25">
      <c r="G688" s="2"/>
    </row>
    <row r="689" spans="7:7" ht="13.2" x14ac:dyDescent="0.25">
      <c r="G689" s="2"/>
    </row>
    <row r="690" spans="7:7" ht="13.2" x14ac:dyDescent="0.25">
      <c r="G690" s="2"/>
    </row>
    <row r="691" spans="7:7" ht="13.2" x14ac:dyDescent="0.25">
      <c r="G691" s="2"/>
    </row>
    <row r="692" spans="7:7" ht="13.2" x14ac:dyDescent="0.25">
      <c r="G692" s="2"/>
    </row>
    <row r="693" spans="7:7" ht="13.2" x14ac:dyDescent="0.25">
      <c r="G693" s="2"/>
    </row>
    <row r="694" spans="7:7" ht="13.2" x14ac:dyDescent="0.25">
      <c r="G694" s="2"/>
    </row>
    <row r="695" spans="7:7" ht="13.2" x14ac:dyDescent="0.25">
      <c r="G695" s="2"/>
    </row>
    <row r="696" spans="7:7" ht="13.2" x14ac:dyDescent="0.25">
      <c r="G696" s="2"/>
    </row>
    <row r="697" spans="7:7" ht="13.2" x14ac:dyDescent="0.25">
      <c r="G697" s="2"/>
    </row>
    <row r="698" spans="7:7" ht="13.2" x14ac:dyDescent="0.25">
      <c r="G698" s="2"/>
    </row>
    <row r="699" spans="7:7" ht="13.2" x14ac:dyDescent="0.25">
      <c r="G699" s="2"/>
    </row>
    <row r="700" spans="7:7" ht="13.2" x14ac:dyDescent="0.25">
      <c r="G700" s="2"/>
    </row>
    <row r="701" spans="7:7" ht="13.2" x14ac:dyDescent="0.25">
      <c r="G701" s="2"/>
    </row>
    <row r="702" spans="7:7" ht="13.2" x14ac:dyDescent="0.25">
      <c r="G702" s="2"/>
    </row>
    <row r="703" spans="7:7" ht="13.2" x14ac:dyDescent="0.25">
      <c r="G703" s="2"/>
    </row>
    <row r="704" spans="7:7" ht="13.2" x14ac:dyDescent="0.25">
      <c r="G704" s="2"/>
    </row>
    <row r="705" spans="7:7" ht="13.2" x14ac:dyDescent="0.25">
      <c r="G705" s="2"/>
    </row>
    <row r="706" spans="7:7" ht="13.2" x14ac:dyDescent="0.25">
      <c r="G706" s="2"/>
    </row>
    <row r="707" spans="7:7" ht="13.2" x14ac:dyDescent="0.25">
      <c r="G707" s="2"/>
    </row>
    <row r="708" spans="7:7" ht="13.2" x14ac:dyDescent="0.25">
      <c r="G708" s="2"/>
    </row>
    <row r="709" spans="7:7" ht="13.2" x14ac:dyDescent="0.25">
      <c r="G709" s="2"/>
    </row>
    <row r="710" spans="7:7" ht="13.2" x14ac:dyDescent="0.25">
      <c r="G710" s="2"/>
    </row>
    <row r="711" spans="7:7" ht="13.2" x14ac:dyDescent="0.25">
      <c r="G711" s="2"/>
    </row>
    <row r="712" spans="7:7" ht="13.2" x14ac:dyDescent="0.25">
      <c r="G712" s="2"/>
    </row>
    <row r="713" spans="7:7" ht="13.2" x14ac:dyDescent="0.25">
      <c r="G713" s="2"/>
    </row>
    <row r="714" spans="7:7" ht="13.2" x14ac:dyDescent="0.25">
      <c r="G714" s="2"/>
    </row>
    <row r="715" spans="7:7" ht="13.2" x14ac:dyDescent="0.25">
      <c r="G715" s="2"/>
    </row>
    <row r="716" spans="7:7" ht="13.2" x14ac:dyDescent="0.25">
      <c r="G716" s="2"/>
    </row>
    <row r="717" spans="7:7" ht="13.2" x14ac:dyDescent="0.25">
      <c r="G717" s="2"/>
    </row>
    <row r="718" spans="7:7" ht="13.2" x14ac:dyDescent="0.25">
      <c r="G718" s="2"/>
    </row>
    <row r="719" spans="7:7" ht="13.2" x14ac:dyDescent="0.25">
      <c r="G719" s="2"/>
    </row>
    <row r="720" spans="7:7" ht="13.2" x14ac:dyDescent="0.25">
      <c r="G720" s="2"/>
    </row>
    <row r="721" spans="7:7" ht="13.2" x14ac:dyDescent="0.25">
      <c r="G721" s="2"/>
    </row>
    <row r="722" spans="7:7" ht="13.2" x14ac:dyDescent="0.25">
      <c r="G722" s="2"/>
    </row>
    <row r="723" spans="7:7" ht="13.2" x14ac:dyDescent="0.25">
      <c r="G723" s="2"/>
    </row>
    <row r="724" spans="7:7" ht="13.2" x14ac:dyDescent="0.25">
      <c r="G724" s="2"/>
    </row>
    <row r="725" spans="7:7" ht="13.2" x14ac:dyDescent="0.25">
      <c r="G725" s="2"/>
    </row>
    <row r="726" spans="7:7" ht="13.2" x14ac:dyDescent="0.25">
      <c r="G726" s="2"/>
    </row>
    <row r="727" spans="7:7" ht="13.2" x14ac:dyDescent="0.25">
      <c r="G727" s="2"/>
    </row>
    <row r="728" spans="7:7" ht="13.2" x14ac:dyDescent="0.25">
      <c r="G728" s="2"/>
    </row>
    <row r="729" spans="7:7" ht="13.2" x14ac:dyDescent="0.25">
      <c r="G729" s="2"/>
    </row>
    <row r="730" spans="7:7" ht="13.2" x14ac:dyDescent="0.25">
      <c r="G730" s="2"/>
    </row>
    <row r="731" spans="7:7" ht="13.2" x14ac:dyDescent="0.25">
      <c r="G731" s="2"/>
    </row>
    <row r="732" spans="7:7" ht="13.2" x14ac:dyDescent="0.25">
      <c r="G732" s="2"/>
    </row>
    <row r="733" spans="7:7" ht="13.2" x14ac:dyDescent="0.25">
      <c r="G733" s="2"/>
    </row>
    <row r="734" spans="7:7" ht="13.2" x14ac:dyDescent="0.25">
      <c r="G734" s="2"/>
    </row>
    <row r="735" spans="7:7" ht="13.2" x14ac:dyDescent="0.25">
      <c r="G735" s="2"/>
    </row>
    <row r="736" spans="7:7" ht="13.2" x14ac:dyDescent="0.25">
      <c r="G736" s="2"/>
    </row>
    <row r="737" spans="7:7" ht="13.2" x14ac:dyDescent="0.25">
      <c r="G737" s="2"/>
    </row>
    <row r="738" spans="7:7" ht="13.2" x14ac:dyDescent="0.25">
      <c r="G738" s="2"/>
    </row>
    <row r="739" spans="7:7" ht="13.2" x14ac:dyDescent="0.25">
      <c r="G739" s="2"/>
    </row>
    <row r="740" spans="7:7" ht="13.2" x14ac:dyDescent="0.25">
      <c r="G740" s="2"/>
    </row>
    <row r="741" spans="7:7" ht="13.2" x14ac:dyDescent="0.25">
      <c r="G741" s="2"/>
    </row>
    <row r="742" spans="7:7" ht="13.2" x14ac:dyDescent="0.25">
      <c r="G742" s="2"/>
    </row>
    <row r="743" spans="7:7" ht="13.2" x14ac:dyDescent="0.25">
      <c r="G743" s="2"/>
    </row>
    <row r="744" spans="7:7" ht="13.2" x14ac:dyDescent="0.25">
      <c r="G744" s="2"/>
    </row>
    <row r="745" spans="7:7" ht="13.2" x14ac:dyDescent="0.25">
      <c r="G745" s="2"/>
    </row>
    <row r="746" spans="7:7" ht="13.2" x14ac:dyDescent="0.25">
      <c r="G746" s="2"/>
    </row>
    <row r="747" spans="7:7" ht="13.2" x14ac:dyDescent="0.25">
      <c r="G747" s="2"/>
    </row>
    <row r="748" spans="7:7" ht="13.2" x14ac:dyDescent="0.25">
      <c r="G748" s="2"/>
    </row>
    <row r="749" spans="7:7" ht="13.2" x14ac:dyDescent="0.25">
      <c r="G749" s="2"/>
    </row>
    <row r="750" spans="7:7" ht="13.2" x14ac:dyDescent="0.25">
      <c r="G750" s="2"/>
    </row>
    <row r="751" spans="7:7" ht="13.2" x14ac:dyDescent="0.25">
      <c r="G751" s="2"/>
    </row>
    <row r="752" spans="7:7" ht="13.2" x14ac:dyDescent="0.25">
      <c r="G752" s="2"/>
    </row>
    <row r="753" spans="7:7" ht="13.2" x14ac:dyDescent="0.25">
      <c r="G753" s="2"/>
    </row>
    <row r="754" spans="7:7" ht="13.2" x14ac:dyDescent="0.25">
      <c r="G754" s="2"/>
    </row>
    <row r="755" spans="7:7" ht="13.2" x14ac:dyDescent="0.25">
      <c r="G755" s="2"/>
    </row>
    <row r="756" spans="7:7" ht="13.2" x14ac:dyDescent="0.25">
      <c r="G756" s="2"/>
    </row>
    <row r="757" spans="7:7" ht="13.2" x14ac:dyDescent="0.25">
      <c r="G757" s="2"/>
    </row>
    <row r="758" spans="7:7" ht="13.2" x14ac:dyDescent="0.25">
      <c r="G758" s="2"/>
    </row>
    <row r="759" spans="7:7" ht="13.2" x14ac:dyDescent="0.25">
      <c r="G759" s="2"/>
    </row>
    <row r="760" spans="7:7" ht="13.2" x14ac:dyDescent="0.25">
      <c r="G760" s="2"/>
    </row>
    <row r="761" spans="7:7" ht="13.2" x14ac:dyDescent="0.25">
      <c r="G761" s="2"/>
    </row>
    <row r="762" spans="7:7" ht="13.2" x14ac:dyDescent="0.25">
      <c r="G762" s="2"/>
    </row>
    <row r="763" spans="7:7" ht="13.2" x14ac:dyDescent="0.25">
      <c r="G763" s="2"/>
    </row>
    <row r="764" spans="7:7" ht="13.2" x14ac:dyDescent="0.25">
      <c r="G764" s="2"/>
    </row>
    <row r="765" spans="7:7" ht="13.2" x14ac:dyDescent="0.25">
      <c r="G765" s="2"/>
    </row>
    <row r="766" spans="7:7" ht="13.2" x14ac:dyDescent="0.25">
      <c r="G766" s="2"/>
    </row>
    <row r="767" spans="7:7" ht="13.2" x14ac:dyDescent="0.25">
      <c r="G767" s="2"/>
    </row>
    <row r="768" spans="7:7" ht="13.2" x14ac:dyDescent="0.25">
      <c r="G768" s="2"/>
    </row>
    <row r="769" spans="7:7" ht="13.2" x14ac:dyDescent="0.25">
      <c r="G769" s="2"/>
    </row>
    <row r="770" spans="7:7" ht="13.2" x14ac:dyDescent="0.25">
      <c r="G770" s="2"/>
    </row>
    <row r="771" spans="7:7" ht="13.2" x14ac:dyDescent="0.25">
      <c r="G771" s="2"/>
    </row>
    <row r="772" spans="7:7" ht="13.2" x14ac:dyDescent="0.25">
      <c r="G772" s="2"/>
    </row>
    <row r="773" spans="7:7" ht="13.2" x14ac:dyDescent="0.25">
      <c r="G773" s="2"/>
    </row>
    <row r="774" spans="7:7" ht="13.2" x14ac:dyDescent="0.25">
      <c r="G774" s="2"/>
    </row>
    <row r="775" spans="7:7" ht="13.2" x14ac:dyDescent="0.25">
      <c r="G775" s="2"/>
    </row>
    <row r="776" spans="7:7" ht="13.2" x14ac:dyDescent="0.25">
      <c r="G776" s="2"/>
    </row>
    <row r="777" spans="7:7" ht="13.2" x14ac:dyDescent="0.25">
      <c r="G777" s="2"/>
    </row>
    <row r="778" spans="7:7" ht="13.2" x14ac:dyDescent="0.25">
      <c r="G778" s="2"/>
    </row>
    <row r="779" spans="7:7" ht="13.2" x14ac:dyDescent="0.25">
      <c r="G779" s="2"/>
    </row>
    <row r="780" spans="7:7" ht="13.2" x14ac:dyDescent="0.25">
      <c r="G780" s="2"/>
    </row>
    <row r="781" spans="7:7" ht="13.2" x14ac:dyDescent="0.25">
      <c r="G781" s="2"/>
    </row>
    <row r="782" spans="7:7" ht="13.2" x14ac:dyDescent="0.25">
      <c r="G782" s="2"/>
    </row>
    <row r="783" spans="7:7" ht="13.2" x14ac:dyDescent="0.25">
      <c r="G783" s="2"/>
    </row>
    <row r="784" spans="7:7" ht="13.2" x14ac:dyDescent="0.25">
      <c r="G784" s="2"/>
    </row>
    <row r="785" spans="7:7" ht="13.2" x14ac:dyDescent="0.25">
      <c r="G785" s="2"/>
    </row>
    <row r="786" spans="7:7" ht="13.2" x14ac:dyDescent="0.25">
      <c r="G786" s="2"/>
    </row>
    <row r="787" spans="7:7" ht="13.2" x14ac:dyDescent="0.25">
      <c r="G787" s="2"/>
    </row>
    <row r="788" spans="7:7" ht="13.2" x14ac:dyDescent="0.25">
      <c r="G788" s="2"/>
    </row>
    <row r="789" spans="7:7" ht="13.2" x14ac:dyDescent="0.25">
      <c r="G789" s="2"/>
    </row>
    <row r="790" spans="7:7" ht="13.2" x14ac:dyDescent="0.25">
      <c r="G790" s="2"/>
    </row>
    <row r="791" spans="7:7" ht="13.2" x14ac:dyDescent="0.25">
      <c r="G791" s="2"/>
    </row>
    <row r="792" spans="7:7" ht="13.2" x14ac:dyDescent="0.25">
      <c r="G792" s="2"/>
    </row>
    <row r="793" spans="7:7" ht="13.2" x14ac:dyDescent="0.25">
      <c r="G793" s="2"/>
    </row>
    <row r="794" spans="7:7" ht="13.2" x14ac:dyDescent="0.25">
      <c r="G794" s="2"/>
    </row>
    <row r="795" spans="7:7" ht="13.2" x14ac:dyDescent="0.25">
      <c r="G795" s="2"/>
    </row>
    <row r="796" spans="7:7" ht="13.2" x14ac:dyDescent="0.25">
      <c r="G796" s="2"/>
    </row>
    <row r="797" spans="7:7" ht="13.2" x14ac:dyDescent="0.25">
      <c r="G797" s="2"/>
    </row>
    <row r="798" spans="7:7" ht="13.2" x14ac:dyDescent="0.25">
      <c r="G798" s="2"/>
    </row>
    <row r="799" spans="7:7" ht="13.2" x14ac:dyDescent="0.25">
      <c r="G799" s="2"/>
    </row>
    <row r="800" spans="7:7" ht="13.2" x14ac:dyDescent="0.25">
      <c r="G800" s="2"/>
    </row>
    <row r="801" spans="7:7" ht="13.2" x14ac:dyDescent="0.25">
      <c r="G801" s="2"/>
    </row>
    <row r="802" spans="7:7" ht="13.2" x14ac:dyDescent="0.25">
      <c r="G802" s="2"/>
    </row>
    <row r="803" spans="7:7" ht="13.2" x14ac:dyDescent="0.25">
      <c r="G803" s="2"/>
    </row>
    <row r="804" spans="7:7" ht="13.2" x14ac:dyDescent="0.25">
      <c r="G804" s="2"/>
    </row>
    <row r="805" spans="7:7" ht="13.2" x14ac:dyDescent="0.25">
      <c r="G805" s="2"/>
    </row>
    <row r="806" spans="7:7" ht="13.2" x14ac:dyDescent="0.25">
      <c r="G806" s="2"/>
    </row>
    <row r="807" spans="7:7" ht="13.2" x14ac:dyDescent="0.25">
      <c r="G807" s="2"/>
    </row>
    <row r="808" spans="7:7" ht="13.2" x14ac:dyDescent="0.25">
      <c r="G808" s="2"/>
    </row>
    <row r="809" spans="7:7" ht="13.2" x14ac:dyDescent="0.25">
      <c r="G809" s="2"/>
    </row>
    <row r="810" spans="7:7" ht="13.2" x14ac:dyDescent="0.25">
      <c r="G810" s="2"/>
    </row>
    <row r="811" spans="7:7" ht="13.2" x14ac:dyDescent="0.25">
      <c r="G811" s="2"/>
    </row>
    <row r="812" spans="7:7" ht="13.2" x14ac:dyDescent="0.25">
      <c r="G812" s="2"/>
    </row>
    <row r="813" spans="7:7" ht="13.2" x14ac:dyDescent="0.25">
      <c r="G813" s="2"/>
    </row>
    <row r="814" spans="7:7" ht="13.2" x14ac:dyDescent="0.25">
      <c r="G814" s="2"/>
    </row>
    <row r="815" spans="7:7" ht="13.2" x14ac:dyDescent="0.25">
      <c r="G815" s="2"/>
    </row>
    <row r="816" spans="7:7" ht="13.2" x14ac:dyDescent="0.25">
      <c r="G816" s="2"/>
    </row>
    <row r="817" spans="7:7" ht="13.2" x14ac:dyDescent="0.25">
      <c r="G817" s="2"/>
    </row>
    <row r="818" spans="7:7" ht="13.2" x14ac:dyDescent="0.25">
      <c r="G818" s="2"/>
    </row>
    <row r="819" spans="7:7" ht="13.2" x14ac:dyDescent="0.25">
      <c r="G819" s="2"/>
    </row>
    <row r="820" spans="7:7" ht="13.2" x14ac:dyDescent="0.25">
      <c r="G820" s="2"/>
    </row>
    <row r="821" spans="7:7" ht="13.2" x14ac:dyDescent="0.25">
      <c r="G821" s="2"/>
    </row>
    <row r="822" spans="7:7" ht="13.2" x14ac:dyDescent="0.25">
      <c r="G822" s="2"/>
    </row>
    <row r="823" spans="7:7" ht="13.2" x14ac:dyDescent="0.25">
      <c r="G823" s="2"/>
    </row>
    <row r="824" spans="7:7" ht="13.2" x14ac:dyDescent="0.25">
      <c r="G824" s="2"/>
    </row>
    <row r="825" spans="7:7" ht="13.2" x14ac:dyDescent="0.25">
      <c r="G825" s="2"/>
    </row>
    <row r="826" spans="7:7" ht="13.2" x14ac:dyDescent="0.25">
      <c r="G826" s="2"/>
    </row>
    <row r="827" spans="7:7" ht="13.2" x14ac:dyDescent="0.25">
      <c r="G827" s="2"/>
    </row>
    <row r="828" spans="7:7" ht="13.2" x14ac:dyDescent="0.25">
      <c r="G828" s="2"/>
    </row>
    <row r="829" spans="7:7" ht="13.2" x14ac:dyDescent="0.25">
      <c r="G829" s="2"/>
    </row>
    <row r="830" spans="7:7" ht="13.2" x14ac:dyDescent="0.25">
      <c r="G830" s="2"/>
    </row>
    <row r="831" spans="7:7" ht="13.2" x14ac:dyDescent="0.25">
      <c r="G831" s="2"/>
    </row>
    <row r="832" spans="7:7" ht="13.2" x14ac:dyDescent="0.25">
      <c r="G832" s="2"/>
    </row>
    <row r="833" spans="7:7" ht="13.2" x14ac:dyDescent="0.25">
      <c r="G833" s="2"/>
    </row>
    <row r="834" spans="7:7" ht="13.2" x14ac:dyDescent="0.25">
      <c r="G834" s="2"/>
    </row>
    <row r="835" spans="7:7" ht="13.2" x14ac:dyDescent="0.25">
      <c r="G835" s="2"/>
    </row>
    <row r="836" spans="7:7" ht="13.2" x14ac:dyDescent="0.25">
      <c r="G836" s="2"/>
    </row>
    <row r="837" spans="7:7" ht="13.2" x14ac:dyDescent="0.25">
      <c r="G837" s="2"/>
    </row>
    <row r="838" spans="7:7" ht="13.2" x14ac:dyDescent="0.25">
      <c r="G838" s="2"/>
    </row>
    <row r="839" spans="7:7" ht="13.2" x14ac:dyDescent="0.25">
      <c r="G839" s="2"/>
    </row>
    <row r="840" spans="7:7" ht="13.2" x14ac:dyDescent="0.25">
      <c r="G840" s="2"/>
    </row>
    <row r="841" spans="7:7" ht="13.2" x14ac:dyDescent="0.25">
      <c r="G841" s="2"/>
    </row>
    <row r="842" spans="7:7" ht="13.2" x14ac:dyDescent="0.25">
      <c r="G842" s="2"/>
    </row>
    <row r="843" spans="7:7" ht="13.2" x14ac:dyDescent="0.25">
      <c r="G843" s="2"/>
    </row>
    <row r="844" spans="7:7" ht="13.2" x14ac:dyDescent="0.25">
      <c r="G844" s="2"/>
    </row>
    <row r="845" spans="7:7" ht="13.2" x14ac:dyDescent="0.25">
      <c r="G845" s="2"/>
    </row>
    <row r="846" spans="7:7" ht="13.2" x14ac:dyDescent="0.25">
      <c r="G846" s="2"/>
    </row>
    <row r="847" spans="7:7" ht="13.2" x14ac:dyDescent="0.25">
      <c r="G847" s="2"/>
    </row>
    <row r="848" spans="7:7" ht="13.2" x14ac:dyDescent="0.25">
      <c r="G848" s="2"/>
    </row>
    <row r="849" spans="7:7" ht="13.2" x14ac:dyDescent="0.25">
      <c r="G849" s="2"/>
    </row>
    <row r="850" spans="7:7" ht="13.2" x14ac:dyDescent="0.25">
      <c r="G850" s="2"/>
    </row>
    <row r="851" spans="7:7" ht="13.2" x14ac:dyDescent="0.25">
      <c r="G851" s="2"/>
    </row>
    <row r="852" spans="7:7" ht="13.2" x14ac:dyDescent="0.25">
      <c r="G852" s="2"/>
    </row>
    <row r="853" spans="7:7" ht="13.2" x14ac:dyDescent="0.25">
      <c r="G853" s="2"/>
    </row>
    <row r="854" spans="7:7" ht="13.2" x14ac:dyDescent="0.25">
      <c r="G854" s="2"/>
    </row>
    <row r="855" spans="7:7" ht="13.2" x14ac:dyDescent="0.25">
      <c r="G855" s="2"/>
    </row>
    <row r="856" spans="7:7" ht="13.2" x14ac:dyDescent="0.25">
      <c r="G856" s="2"/>
    </row>
    <row r="857" spans="7:7" ht="13.2" x14ac:dyDescent="0.25">
      <c r="G857" s="2"/>
    </row>
    <row r="858" spans="7:7" ht="13.2" x14ac:dyDescent="0.25">
      <c r="G858" s="2"/>
    </row>
    <row r="859" spans="7:7" ht="13.2" x14ac:dyDescent="0.25">
      <c r="G859" s="2"/>
    </row>
    <row r="860" spans="7:7" ht="13.2" x14ac:dyDescent="0.25">
      <c r="G860" s="2"/>
    </row>
    <row r="861" spans="7:7" ht="13.2" x14ac:dyDescent="0.25">
      <c r="G861" s="2"/>
    </row>
    <row r="862" spans="7:7" ht="13.2" x14ac:dyDescent="0.25">
      <c r="G862" s="2"/>
    </row>
    <row r="863" spans="7:7" ht="13.2" x14ac:dyDescent="0.25">
      <c r="G863" s="2"/>
    </row>
    <row r="864" spans="7:7" ht="13.2" x14ac:dyDescent="0.25">
      <c r="G864" s="2"/>
    </row>
    <row r="865" spans="7:7" ht="13.2" x14ac:dyDescent="0.25">
      <c r="G865" s="2"/>
    </row>
    <row r="866" spans="7:7" ht="13.2" x14ac:dyDescent="0.25">
      <c r="G866" s="2"/>
    </row>
    <row r="867" spans="7:7" ht="13.2" x14ac:dyDescent="0.25">
      <c r="G867" s="2"/>
    </row>
    <row r="868" spans="7:7" ht="13.2" x14ac:dyDescent="0.25">
      <c r="G868" s="2"/>
    </row>
    <row r="869" spans="7:7" ht="13.2" x14ac:dyDescent="0.25">
      <c r="G869" s="2"/>
    </row>
    <row r="870" spans="7:7" ht="13.2" x14ac:dyDescent="0.25">
      <c r="G870" s="2"/>
    </row>
    <row r="871" spans="7:7" ht="13.2" x14ac:dyDescent="0.25">
      <c r="G871" s="2"/>
    </row>
    <row r="872" spans="7:7" ht="13.2" x14ac:dyDescent="0.25">
      <c r="G872" s="2"/>
    </row>
    <row r="873" spans="7:7" ht="13.2" x14ac:dyDescent="0.25">
      <c r="G873" s="2"/>
    </row>
    <row r="874" spans="7:7" ht="13.2" x14ac:dyDescent="0.25">
      <c r="G874" s="2"/>
    </row>
    <row r="875" spans="7:7" ht="13.2" x14ac:dyDescent="0.25">
      <c r="G875" s="2"/>
    </row>
    <row r="876" spans="7:7" ht="13.2" x14ac:dyDescent="0.25">
      <c r="G876" s="2"/>
    </row>
    <row r="877" spans="7:7" ht="13.2" x14ac:dyDescent="0.25">
      <c r="G877" s="2"/>
    </row>
    <row r="878" spans="7:7" ht="13.2" x14ac:dyDescent="0.25">
      <c r="G878" s="2"/>
    </row>
    <row r="879" spans="7:7" ht="13.2" x14ac:dyDescent="0.25">
      <c r="G879" s="2"/>
    </row>
    <row r="880" spans="7:7" ht="13.2" x14ac:dyDescent="0.25">
      <c r="G880" s="2"/>
    </row>
    <row r="881" spans="7:7" ht="13.2" x14ac:dyDescent="0.25">
      <c r="G881" s="2"/>
    </row>
    <row r="882" spans="7:7" ht="13.2" x14ac:dyDescent="0.25">
      <c r="G882" s="2"/>
    </row>
    <row r="883" spans="7:7" ht="13.2" x14ac:dyDescent="0.25">
      <c r="G883" s="2"/>
    </row>
    <row r="884" spans="7:7" ht="13.2" x14ac:dyDescent="0.25">
      <c r="G884" s="2"/>
    </row>
    <row r="885" spans="7:7" ht="13.2" x14ac:dyDescent="0.25">
      <c r="G885" s="2"/>
    </row>
    <row r="886" spans="7:7" ht="13.2" x14ac:dyDescent="0.25">
      <c r="G886" s="2"/>
    </row>
    <row r="887" spans="7:7" ht="13.2" x14ac:dyDescent="0.25">
      <c r="G887" s="2"/>
    </row>
    <row r="888" spans="7:7" ht="13.2" x14ac:dyDescent="0.25">
      <c r="G888" s="2"/>
    </row>
    <row r="889" spans="7:7" ht="13.2" x14ac:dyDescent="0.25">
      <c r="G889" s="2"/>
    </row>
    <row r="890" spans="7:7" ht="13.2" x14ac:dyDescent="0.25">
      <c r="G890" s="2"/>
    </row>
    <row r="891" spans="7:7" ht="13.2" x14ac:dyDescent="0.25">
      <c r="G891" s="2"/>
    </row>
    <row r="892" spans="7:7" ht="13.2" x14ac:dyDescent="0.25">
      <c r="G892" s="2"/>
    </row>
    <row r="893" spans="7:7" ht="13.2" x14ac:dyDescent="0.25">
      <c r="G893" s="2"/>
    </row>
    <row r="894" spans="7:7" ht="13.2" x14ac:dyDescent="0.25">
      <c r="G894" s="2"/>
    </row>
    <row r="895" spans="7:7" ht="13.2" x14ac:dyDescent="0.25">
      <c r="G895" s="2"/>
    </row>
    <row r="896" spans="7:7" ht="13.2" x14ac:dyDescent="0.25">
      <c r="G896" s="2"/>
    </row>
    <row r="897" spans="7:7" ht="13.2" x14ac:dyDescent="0.25">
      <c r="G897" s="2"/>
    </row>
    <row r="898" spans="7:7" ht="13.2" x14ac:dyDescent="0.25">
      <c r="G898" s="2"/>
    </row>
    <row r="899" spans="7:7" ht="13.2" x14ac:dyDescent="0.25">
      <c r="G899" s="2"/>
    </row>
    <row r="900" spans="7:7" ht="13.2" x14ac:dyDescent="0.25">
      <c r="G900" s="2"/>
    </row>
    <row r="901" spans="7:7" ht="13.2" x14ac:dyDescent="0.25">
      <c r="G901" s="2"/>
    </row>
    <row r="902" spans="7:7" ht="13.2" x14ac:dyDescent="0.25">
      <c r="G902" s="2"/>
    </row>
    <row r="903" spans="7:7" ht="13.2" x14ac:dyDescent="0.25">
      <c r="G903" s="2"/>
    </row>
    <row r="904" spans="7:7" ht="13.2" x14ac:dyDescent="0.25">
      <c r="G904" s="2"/>
    </row>
    <row r="905" spans="7:7" ht="13.2" x14ac:dyDescent="0.25">
      <c r="G905" s="2"/>
    </row>
    <row r="906" spans="7:7" ht="13.2" x14ac:dyDescent="0.25">
      <c r="G906" s="2"/>
    </row>
    <row r="907" spans="7:7" ht="13.2" x14ac:dyDescent="0.25">
      <c r="G907" s="2"/>
    </row>
    <row r="908" spans="7:7" ht="13.2" x14ac:dyDescent="0.25">
      <c r="G908" s="2"/>
    </row>
    <row r="909" spans="7:7" ht="13.2" x14ac:dyDescent="0.25">
      <c r="G909" s="2"/>
    </row>
    <row r="910" spans="7:7" ht="13.2" x14ac:dyDescent="0.25">
      <c r="G910" s="2"/>
    </row>
    <row r="911" spans="7:7" ht="13.2" x14ac:dyDescent="0.25">
      <c r="G911" s="2"/>
    </row>
    <row r="912" spans="7:7" ht="13.2" x14ac:dyDescent="0.25">
      <c r="G912" s="2"/>
    </row>
    <row r="913" spans="7:7" ht="13.2" x14ac:dyDescent="0.25">
      <c r="G913" s="2"/>
    </row>
    <row r="914" spans="7:7" ht="13.2" x14ac:dyDescent="0.25">
      <c r="G914" s="2"/>
    </row>
    <row r="915" spans="7:7" ht="13.2" x14ac:dyDescent="0.25">
      <c r="G915" s="2"/>
    </row>
    <row r="916" spans="7:7" ht="13.2" x14ac:dyDescent="0.25">
      <c r="G916" s="2"/>
    </row>
    <row r="917" spans="7:7" ht="13.2" x14ac:dyDescent="0.25">
      <c r="G917" s="2"/>
    </row>
    <row r="918" spans="7:7" ht="13.2" x14ac:dyDescent="0.25">
      <c r="G918" s="2"/>
    </row>
    <row r="919" spans="7:7" ht="13.2" x14ac:dyDescent="0.25">
      <c r="G919" s="2"/>
    </row>
    <row r="920" spans="7:7" ht="13.2" x14ac:dyDescent="0.25">
      <c r="G920" s="2"/>
    </row>
    <row r="921" spans="7:7" ht="13.2" x14ac:dyDescent="0.25">
      <c r="G921" s="2"/>
    </row>
    <row r="922" spans="7:7" ht="13.2" x14ac:dyDescent="0.25">
      <c r="G922" s="2"/>
    </row>
    <row r="923" spans="7:7" ht="13.2" x14ac:dyDescent="0.25">
      <c r="G923" s="2"/>
    </row>
    <row r="924" spans="7:7" ht="13.2" x14ac:dyDescent="0.25">
      <c r="G924" s="2"/>
    </row>
    <row r="925" spans="7:7" ht="13.2" x14ac:dyDescent="0.25">
      <c r="G925" s="2"/>
    </row>
    <row r="926" spans="7:7" ht="13.2" x14ac:dyDescent="0.25">
      <c r="G926" s="2"/>
    </row>
    <row r="927" spans="7:7" ht="13.2" x14ac:dyDescent="0.25">
      <c r="G927" s="2"/>
    </row>
    <row r="928" spans="7:7" ht="13.2" x14ac:dyDescent="0.25">
      <c r="G928" s="2"/>
    </row>
    <row r="929" spans="7:7" ht="13.2" x14ac:dyDescent="0.25">
      <c r="G929" s="2"/>
    </row>
    <row r="930" spans="7:7" ht="13.2" x14ac:dyDescent="0.25">
      <c r="G930" s="2"/>
    </row>
    <row r="931" spans="7:7" ht="13.2" x14ac:dyDescent="0.25">
      <c r="G931" s="2"/>
    </row>
    <row r="932" spans="7:7" ht="13.2" x14ac:dyDescent="0.25">
      <c r="G932" s="2"/>
    </row>
    <row r="933" spans="7:7" ht="13.2" x14ac:dyDescent="0.25">
      <c r="G933" s="2"/>
    </row>
    <row r="934" spans="7:7" ht="13.2" x14ac:dyDescent="0.25">
      <c r="G934" s="2"/>
    </row>
    <row r="935" spans="7:7" ht="13.2" x14ac:dyDescent="0.25">
      <c r="G935" s="2"/>
    </row>
    <row r="936" spans="7:7" ht="13.2" x14ac:dyDescent="0.25">
      <c r="G936" s="2"/>
    </row>
    <row r="937" spans="7:7" ht="13.2" x14ac:dyDescent="0.25">
      <c r="G937" s="2"/>
    </row>
    <row r="938" spans="7:7" ht="13.2" x14ac:dyDescent="0.25">
      <c r="G938" s="2"/>
    </row>
    <row r="939" spans="7:7" ht="13.2" x14ac:dyDescent="0.25">
      <c r="G939" s="2"/>
    </row>
    <row r="940" spans="7:7" ht="13.2" x14ac:dyDescent="0.25">
      <c r="G940" s="2"/>
    </row>
    <row r="941" spans="7:7" ht="13.2" x14ac:dyDescent="0.25">
      <c r="G941" s="2"/>
    </row>
    <row r="942" spans="7:7" ht="13.2" x14ac:dyDescent="0.25">
      <c r="G942" s="2"/>
    </row>
    <row r="943" spans="7:7" ht="13.2" x14ac:dyDescent="0.25">
      <c r="G943" s="2"/>
    </row>
    <row r="944" spans="7:7" ht="13.2" x14ac:dyDescent="0.25">
      <c r="G944" s="2"/>
    </row>
    <row r="945" spans="7:7" ht="13.2" x14ac:dyDescent="0.25">
      <c r="G945" s="2"/>
    </row>
    <row r="946" spans="7:7" ht="13.2" x14ac:dyDescent="0.25">
      <c r="G946" s="2"/>
    </row>
    <row r="947" spans="7:7" ht="13.2" x14ac:dyDescent="0.25">
      <c r="G947" s="2"/>
    </row>
    <row r="948" spans="7:7" ht="13.2" x14ac:dyDescent="0.25">
      <c r="G948" s="2"/>
    </row>
    <row r="949" spans="7:7" ht="13.2" x14ac:dyDescent="0.25">
      <c r="G949" s="2"/>
    </row>
    <row r="950" spans="7:7" ht="13.2" x14ac:dyDescent="0.25">
      <c r="G950" s="2"/>
    </row>
    <row r="951" spans="7:7" ht="13.2" x14ac:dyDescent="0.25">
      <c r="G951" s="2"/>
    </row>
    <row r="952" spans="7:7" ht="13.2" x14ac:dyDescent="0.25">
      <c r="G952" s="2"/>
    </row>
    <row r="953" spans="7:7" ht="13.2" x14ac:dyDescent="0.25">
      <c r="G953" s="2"/>
    </row>
    <row r="954" spans="7:7" ht="13.2" x14ac:dyDescent="0.25">
      <c r="G954" s="2"/>
    </row>
    <row r="955" spans="7:7" ht="13.2" x14ac:dyDescent="0.25">
      <c r="G955" s="2"/>
    </row>
    <row r="956" spans="7:7" ht="13.2" x14ac:dyDescent="0.25">
      <c r="G956" s="2"/>
    </row>
    <row r="957" spans="7:7" ht="13.2" x14ac:dyDescent="0.25">
      <c r="G957" s="2"/>
    </row>
    <row r="958" spans="7:7" ht="13.2" x14ac:dyDescent="0.25">
      <c r="G958" s="2"/>
    </row>
    <row r="959" spans="7:7" ht="13.2" x14ac:dyDescent="0.25">
      <c r="G959" s="2"/>
    </row>
    <row r="960" spans="7:7" ht="13.2" x14ac:dyDescent="0.25">
      <c r="G960" s="2"/>
    </row>
    <row r="961" spans="7:7" ht="13.2" x14ac:dyDescent="0.25">
      <c r="G961" s="2"/>
    </row>
    <row r="962" spans="7:7" ht="13.2" x14ac:dyDescent="0.25">
      <c r="G962" s="2"/>
    </row>
    <row r="963" spans="7:7" ht="13.2" x14ac:dyDescent="0.25">
      <c r="G963" s="2"/>
    </row>
    <row r="964" spans="7:7" ht="13.2" x14ac:dyDescent="0.25">
      <c r="G964" s="2"/>
    </row>
    <row r="965" spans="7:7" ht="13.2" x14ac:dyDescent="0.25">
      <c r="G965" s="2"/>
    </row>
    <row r="966" spans="7:7" ht="13.2" x14ac:dyDescent="0.25">
      <c r="G966" s="2"/>
    </row>
    <row r="967" spans="7:7" ht="13.2" x14ac:dyDescent="0.25">
      <c r="G967" s="2"/>
    </row>
    <row r="968" spans="7:7" ht="13.2" x14ac:dyDescent="0.25">
      <c r="G968" s="2"/>
    </row>
    <row r="969" spans="7:7" ht="13.2" x14ac:dyDescent="0.25">
      <c r="G969" s="2"/>
    </row>
    <row r="970" spans="7:7" ht="13.2" x14ac:dyDescent="0.25">
      <c r="G970" s="2"/>
    </row>
    <row r="971" spans="7:7" ht="13.2" x14ac:dyDescent="0.25">
      <c r="G971" s="2"/>
    </row>
    <row r="972" spans="7:7" ht="13.2" x14ac:dyDescent="0.25">
      <c r="G972" s="2"/>
    </row>
    <row r="973" spans="7:7" ht="13.2" x14ac:dyDescent="0.25">
      <c r="G973" s="2"/>
    </row>
    <row r="974" spans="7:7" ht="13.2" x14ac:dyDescent="0.25">
      <c r="G974" s="2"/>
    </row>
    <row r="975" spans="7:7" ht="13.2" x14ac:dyDescent="0.25">
      <c r="G975" s="2"/>
    </row>
    <row r="976" spans="7:7" ht="13.2" x14ac:dyDescent="0.25">
      <c r="G976" s="2"/>
    </row>
    <row r="977" spans="7:7" ht="13.2" x14ac:dyDescent="0.25">
      <c r="G977" s="2"/>
    </row>
    <row r="978" spans="7:7" ht="13.2" x14ac:dyDescent="0.25">
      <c r="G978" s="2"/>
    </row>
    <row r="979" spans="7:7" ht="13.2" x14ac:dyDescent="0.25">
      <c r="G979" s="2"/>
    </row>
    <row r="980" spans="7:7" ht="13.2" x14ac:dyDescent="0.25">
      <c r="G980" s="2"/>
    </row>
    <row r="981" spans="7:7" ht="13.2" x14ac:dyDescent="0.25">
      <c r="G981" s="2"/>
    </row>
    <row r="982" spans="7:7" ht="13.2" x14ac:dyDescent="0.25">
      <c r="G982" s="2"/>
    </row>
    <row r="983" spans="7:7" ht="13.2" x14ac:dyDescent="0.25">
      <c r="G983" s="2"/>
    </row>
    <row r="984" spans="7:7" ht="13.2" x14ac:dyDescent="0.25">
      <c r="G984" s="2"/>
    </row>
    <row r="985" spans="7:7" ht="13.2" x14ac:dyDescent="0.25">
      <c r="G985" s="2"/>
    </row>
    <row r="986" spans="7:7" ht="13.2" x14ac:dyDescent="0.25">
      <c r="G986" s="2"/>
    </row>
    <row r="987" spans="7:7" ht="13.2" x14ac:dyDescent="0.25">
      <c r="G987" s="2"/>
    </row>
    <row r="988" spans="7:7" ht="13.2" x14ac:dyDescent="0.25">
      <c r="G988" s="2"/>
    </row>
    <row r="989" spans="7:7" ht="13.2" x14ac:dyDescent="0.25">
      <c r="G989" s="2"/>
    </row>
    <row r="990" spans="7:7" ht="13.2" x14ac:dyDescent="0.25">
      <c r="G990" s="2"/>
    </row>
    <row r="991" spans="7:7" ht="13.2" x14ac:dyDescent="0.25">
      <c r="G991" s="2"/>
    </row>
    <row r="992" spans="7:7" ht="13.2" x14ac:dyDescent="0.25">
      <c r="G992" s="2"/>
    </row>
    <row r="993" spans="7:7" ht="13.2" x14ac:dyDescent="0.25">
      <c r="G993" s="2"/>
    </row>
    <row r="994" spans="7:7" ht="13.2" x14ac:dyDescent="0.25">
      <c r="G994" s="2"/>
    </row>
    <row r="995" spans="7:7" ht="13.2" x14ac:dyDescent="0.25">
      <c r="G995" s="2"/>
    </row>
    <row r="996" spans="7:7" ht="13.2" x14ac:dyDescent="0.25">
      <c r="G996" s="2"/>
    </row>
    <row r="997" spans="7:7" ht="13.2" x14ac:dyDescent="0.25">
      <c r="G997" s="2"/>
    </row>
    <row r="998" spans="7:7" ht="13.2" x14ac:dyDescent="0.25">
      <c r="G998" s="2"/>
    </row>
    <row r="999" spans="7:7" ht="13.2" x14ac:dyDescent="0.25">
      <c r="G999" s="2"/>
    </row>
    <row r="1000" spans="7:7" ht="13.2" x14ac:dyDescent="0.25">
      <c r="G1000" s="2"/>
    </row>
    <row r="1001" spans="7:7" ht="13.2" x14ac:dyDescent="0.25">
      <c r="G1001" s="2"/>
    </row>
    <row r="1002" spans="7:7" ht="13.2" x14ac:dyDescent="0.25">
      <c r="G1002" s="2"/>
    </row>
    <row r="1003" spans="7:7" ht="13.2" x14ac:dyDescent="0.25">
      <c r="G1003" s="2"/>
    </row>
    <row r="1004" spans="7:7" ht="13.2" x14ac:dyDescent="0.25">
      <c r="G1004" s="2"/>
    </row>
    <row r="1005" spans="7:7" ht="13.2" x14ac:dyDescent="0.25">
      <c r="G1005" s="2"/>
    </row>
    <row r="1006" spans="7:7" ht="13.2" x14ac:dyDescent="0.25">
      <c r="G1006" s="2"/>
    </row>
    <row r="1007" spans="7:7" ht="13.2" x14ac:dyDescent="0.25">
      <c r="G1007" s="2"/>
    </row>
    <row r="1008" spans="7:7" ht="13.2" x14ac:dyDescent="0.25">
      <c r="G1008" s="2"/>
    </row>
    <row r="1009" spans="7:7" ht="13.2" x14ac:dyDescent="0.25">
      <c r="G1009" s="2"/>
    </row>
    <row r="1010" spans="7:7" ht="13.2" x14ac:dyDescent="0.25">
      <c r="G1010" s="2"/>
    </row>
    <row r="1011" spans="7:7" ht="13.2" x14ac:dyDescent="0.25">
      <c r="G1011" s="2"/>
    </row>
    <row r="1012" spans="7:7" ht="13.2" x14ac:dyDescent="0.25">
      <c r="G1012" s="2"/>
    </row>
    <row r="1013" spans="7:7" ht="13.2" x14ac:dyDescent="0.25">
      <c r="G1013" s="2"/>
    </row>
    <row r="1014" spans="7:7" ht="13.2" x14ac:dyDescent="0.25">
      <c r="G1014" s="2"/>
    </row>
    <row r="1015" spans="7:7" ht="13.2" x14ac:dyDescent="0.25">
      <c r="G1015" s="2"/>
    </row>
    <row r="1016" spans="7:7" ht="13.2" x14ac:dyDescent="0.25">
      <c r="G1016" s="2"/>
    </row>
    <row r="1017" spans="7:7" ht="13.2" x14ac:dyDescent="0.25">
      <c r="G1017" s="2"/>
    </row>
    <row r="1018" spans="7:7" ht="13.2" x14ac:dyDescent="0.25">
      <c r="G1018" s="2"/>
    </row>
    <row r="1019" spans="7:7" ht="13.2" x14ac:dyDescent="0.25">
      <c r="G1019" s="2"/>
    </row>
    <row r="1020" spans="7:7" ht="13.2" x14ac:dyDescent="0.25">
      <c r="G1020" s="2"/>
    </row>
    <row r="1021" spans="7:7" ht="13.2" x14ac:dyDescent="0.25">
      <c r="G1021" s="2"/>
    </row>
    <row r="1022" spans="7:7" ht="13.2" x14ac:dyDescent="0.25">
      <c r="G1022" s="2"/>
    </row>
    <row r="1023" spans="7:7" ht="13.2" x14ac:dyDescent="0.25">
      <c r="G1023" s="2"/>
    </row>
    <row r="1024" spans="7:7" ht="13.2" x14ac:dyDescent="0.25">
      <c r="G1024" s="2"/>
    </row>
    <row r="1025" spans="7:7" ht="13.2" x14ac:dyDescent="0.25">
      <c r="G1025" s="2"/>
    </row>
    <row r="1026" spans="7:7" ht="13.2" x14ac:dyDescent="0.25">
      <c r="G1026" s="2"/>
    </row>
    <row r="1027" spans="7:7" ht="13.2" x14ac:dyDescent="0.25">
      <c r="G1027" s="2"/>
    </row>
    <row r="1028" spans="7:7" ht="13.2" x14ac:dyDescent="0.25">
      <c r="G1028" s="2"/>
    </row>
    <row r="1029" spans="7:7" ht="13.2" x14ac:dyDescent="0.25">
      <c r="G1029" s="2"/>
    </row>
    <row r="1030" spans="7:7" ht="13.2" x14ac:dyDescent="0.25">
      <c r="G1030" s="2"/>
    </row>
    <row r="1031" spans="7:7" ht="13.2" x14ac:dyDescent="0.25">
      <c r="G1031" s="2"/>
    </row>
    <row r="1032" spans="7:7" ht="13.2" x14ac:dyDescent="0.25">
      <c r="G1032" s="2"/>
    </row>
    <row r="1033" spans="7:7" ht="13.2" x14ac:dyDescent="0.25">
      <c r="G1033" s="2"/>
    </row>
    <row r="1034" spans="7:7" ht="13.2" x14ac:dyDescent="0.25">
      <c r="G1034" s="2"/>
    </row>
    <row r="1035" spans="7:7" ht="13.2" x14ac:dyDescent="0.25">
      <c r="G1035" s="2"/>
    </row>
    <row r="1036" spans="7:7" ht="13.2" x14ac:dyDescent="0.25">
      <c r="G1036" s="2"/>
    </row>
    <row r="1037" spans="7:7" ht="13.2" x14ac:dyDescent="0.25">
      <c r="G1037" s="2"/>
    </row>
    <row r="1038" spans="7:7" ht="13.2" x14ac:dyDescent="0.25">
      <c r="G1038" s="2"/>
    </row>
    <row r="1039" spans="7:7" ht="13.2" x14ac:dyDescent="0.25">
      <c r="G1039" s="2"/>
    </row>
    <row r="1040" spans="7:7" ht="13.2" x14ac:dyDescent="0.25">
      <c r="G1040" s="2"/>
    </row>
    <row r="1041" spans="7:7" ht="13.2" x14ac:dyDescent="0.25">
      <c r="G1041" s="2"/>
    </row>
    <row r="1042" spans="7:7" ht="13.2" x14ac:dyDescent="0.25">
      <c r="G1042" s="2"/>
    </row>
    <row r="1043" spans="7:7" ht="13.2" x14ac:dyDescent="0.25">
      <c r="G1043" s="2"/>
    </row>
    <row r="1044" spans="7:7" ht="13.2" x14ac:dyDescent="0.25">
      <c r="G1044" s="2"/>
    </row>
    <row r="1045" spans="7:7" ht="13.2" x14ac:dyDescent="0.25">
      <c r="G1045" s="2"/>
    </row>
    <row r="1046" spans="7:7" ht="13.2" x14ac:dyDescent="0.25">
      <c r="G1046" s="2"/>
    </row>
    <row r="1047" spans="7:7" ht="13.2" x14ac:dyDescent="0.25">
      <c r="G1047" s="2"/>
    </row>
    <row r="1048" spans="7:7" ht="13.2" x14ac:dyDescent="0.25">
      <c r="G1048" s="2"/>
    </row>
    <row r="1049" spans="7:7" ht="13.2" x14ac:dyDescent="0.25">
      <c r="G1049" s="2"/>
    </row>
    <row r="1050" spans="7:7" ht="13.2" x14ac:dyDescent="0.25">
      <c r="G1050" s="2"/>
    </row>
    <row r="1051" spans="7:7" ht="13.2" x14ac:dyDescent="0.25">
      <c r="G1051" s="2"/>
    </row>
    <row r="1052" spans="7:7" ht="13.2" x14ac:dyDescent="0.25">
      <c r="G1052" s="2"/>
    </row>
    <row r="1053" spans="7:7" ht="13.2" x14ac:dyDescent="0.25">
      <c r="G1053" s="2"/>
    </row>
    <row r="1054" spans="7:7" ht="13.2" x14ac:dyDescent="0.25">
      <c r="G1054" s="2"/>
    </row>
    <row r="1055" spans="7:7" ht="13.2" x14ac:dyDescent="0.25">
      <c r="G1055" s="2"/>
    </row>
    <row r="1056" spans="7:7" ht="13.2" x14ac:dyDescent="0.25">
      <c r="G1056" s="2"/>
    </row>
    <row r="1057" spans="7:7" ht="13.2" x14ac:dyDescent="0.25">
      <c r="G1057" s="2"/>
    </row>
    <row r="1058" spans="7:7" ht="13.2" x14ac:dyDescent="0.25">
      <c r="G1058" s="2"/>
    </row>
    <row r="1059" spans="7:7" ht="13.2" x14ac:dyDescent="0.25">
      <c r="G1059" s="2"/>
    </row>
    <row r="1060" spans="7:7" ht="13.2" x14ac:dyDescent="0.25">
      <c r="G1060" s="2"/>
    </row>
    <row r="1061" spans="7:7" ht="13.2" x14ac:dyDescent="0.25">
      <c r="G1061" s="2"/>
    </row>
    <row r="1062" spans="7:7" ht="13.2" x14ac:dyDescent="0.25">
      <c r="G1062" s="2"/>
    </row>
    <row r="1063" spans="7:7" ht="13.2" x14ac:dyDescent="0.25">
      <c r="G1063" s="2"/>
    </row>
    <row r="1064" spans="7:7" ht="13.2" x14ac:dyDescent="0.25">
      <c r="G1064" s="2"/>
    </row>
    <row r="1065" spans="7:7" ht="13.2" x14ac:dyDescent="0.25">
      <c r="G1065" s="2"/>
    </row>
    <row r="1066" spans="7:7" ht="13.2" x14ac:dyDescent="0.25">
      <c r="G1066" s="2"/>
    </row>
    <row r="1067" spans="7:7" ht="13.2" x14ac:dyDescent="0.25">
      <c r="G1067" s="2"/>
    </row>
    <row r="1068" spans="7:7" ht="13.2" x14ac:dyDescent="0.25">
      <c r="G1068" s="2"/>
    </row>
    <row r="1069" spans="7:7" ht="13.2" x14ac:dyDescent="0.25">
      <c r="G1069" s="2"/>
    </row>
    <row r="1070" spans="7:7" ht="13.2" x14ac:dyDescent="0.25">
      <c r="G1070" s="2"/>
    </row>
    <row r="1071" spans="7:7" ht="13.2" x14ac:dyDescent="0.25">
      <c r="G1071" s="2"/>
    </row>
    <row r="1072" spans="7:7" ht="13.2" x14ac:dyDescent="0.25">
      <c r="G1072" s="2"/>
    </row>
    <row r="1073" spans="7:7" ht="13.2" x14ac:dyDescent="0.25">
      <c r="G1073" s="2"/>
    </row>
    <row r="1074" spans="7:7" ht="13.2" x14ac:dyDescent="0.25">
      <c r="G1074" s="2"/>
    </row>
    <row r="1075" spans="7:7" ht="13.2" x14ac:dyDescent="0.25">
      <c r="G1075" s="2"/>
    </row>
    <row r="1076" spans="7:7" ht="13.2" x14ac:dyDescent="0.25">
      <c r="G1076" s="2"/>
    </row>
    <row r="1077" spans="7:7" ht="13.2" x14ac:dyDescent="0.25">
      <c r="G1077" s="2"/>
    </row>
    <row r="1078" spans="7:7" ht="13.2" x14ac:dyDescent="0.25">
      <c r="G1078" s="2"/>
    </row>
    <row r="1079" spans="7:7" ht="13.2" x14ac:dyDescent="0.25">
      <c r="G1079" s="2"/>
    </row>
    <row r="1080" spans="7:7" ht="13.2" x14ac:dyDescent="0.25">
      <c r="G1080" s="2"/>
    </row>
    <row r="1081" spans="7:7" ht="13.2" x14ac:dyDescent="0.25">
      <c r="G1081" s="2"/>
    </row>
    <row r="1082" spans="7:7" ht="13.2" x14ac:dyDescent="0.25">
      <c r="G1082" s="2"/>
    </row>
    <row r="1083" spans="7:7" ht="13.2" x14ac:dyDescent="0.25">
      <c r="G1083" s="2"/>
    </row>
    <row r="1084" spans="7:7" ht="13.2" x14ac:dyDescent="0.25">
      <c r="G1084" s="2"/>
    </row>
    <row r="1085" spans="7:7" ht="13.2" x14ac:dyDescent="0.25">
      <c r="G1085" s="2"/>
    </row>
    <row r="1086" spans="7:7" ht="13.2" x14ac:dyDescent="0.25">
      <c r="G1086" s="2"/>
    </row>
    <row r="1087" spans="7:7" ht="13.2" x14ac:dyDescent="0.25">
      <c r="G1087" s="2"/>
    </row>
    <row r="1088" spans="7:7" ht="13.2" x14ac:dyDescent="0.25">
      <c r="G1088" s="2"/>
    </row>
    <row r="1089" spans="7:7" ht="13.2" x14ac:dyDescent="0.25">
      <c r="G1089" s="2"/>
    </row>
    <row r="1090" spans="7:7" ht="13.2" x14ac:dyDescent="0.25">
      <c r="G1090" s="2"/>
    </row>
    <row r="1091" spans="7:7" ht="13.2" x14ac:dyDescent="0.25">
      <c r="G1091" s="2"/>
    </row>
    <row r="1092" spans="7:7" ht="13.2" x14ac:dyDescent="0.25">
      <c r="G1092" s="2"/>
    </row>
    <row r="1093" spans="7:7" ht="13.2" x14ac:dyDescent="0.25">
      <c r="G1093" s="2"/>
    </row>
    <row r="1094" spans="7:7" ht="13.2" x14ac:dyDescent="0.25">
      <c r="G1094" s="2"/>
    </row>
    <row r="1095" spans="7:7" ht="13.2" x14ac:dyDescent="0.25">
      <c r="G1095" s="2"/>
    </row>
    <row r="1096" spans="7:7" ht="13.2" x14ac:dyDescent="0.25">
      <c r="G1096" s="2"/>
    </row>
    <row r="1097" spans="7:7" ht="13.2" x14ac:dyDescent="0.25">
      <c r="G1097" s="2"/>
    </row>
    <row r="1098" spans="7:7" ht="13.2" x14ac:dyDescent="0.25">
      <c r="G1098" s="2"/>
    </row>
    <row r="1099" spans="7:7" ht="13.2" x14ac:dyDescent="0.25">
      <c r="G1099" s="2"/>
    </row>
    <row r="1100" spans="7:7" ht="13.2" x14ac:dyDescent="0.25">
      <c r="G1100" s="2"/>
    </row>
    <row r="1101" spans="7:7" ht="13.2" x14ac:dyDescent="0.25">
      <c r="G1101" s="2"/>
    </row>
    <row r="1102" spans="7:7" ht="13.2" x14ac:dyDescent="0.25">
      <c r="G1102" s="2"/>
    </row>
    <row r="1103" spans="7:7" ht="13.2" x14ac:dyDescent="0.25">
      <c r="G1103" s="2"/>
    </row>
    <row r="1104" spans="7:7" ht="13.2" x14ac:dyDescent="0.25">
      <c r="G1104" s="2"/>
    </row>
    <row r="1105" spans="7:7" ht="13.2" x14ac:dyDescent="0.25">
      <c r="G1105" s="2"/>
    </row>
    <row r="1106" spans="7:7" ht="13.2" x14ac:dyDescent="0.25">
      <c r="G1106" s="2"/>
    </row>
    <row r="1107" spans="7:7" ht="13.2" x14ac:dyDescent="0.25">
      <c r="G1107" s="2"/>
    </row>
    <row r="1108" spans="7:7" ht="13.2" x14ac:dyDescent="0.25">
      <c r="G1108" s="2"/>
    </row>
    <row r="1109" spans="7:7" ht="13.2" x14ac:dyDescent="0.25">
      <c r="G1109" s="2"/>
    </row>
    <row r="1110" spans="7:7" ht="13.2" x14ac:dyDescent="0.25">
      <c r="G1110" s="2"/>
    </row>
    <row r="1111" spans="7:7" ht="13.2" x14ac:dyDescent="0.25">
      <c r="G1111" s="2"/>
    </row>
    <row r="1112" spans="7:7" ht="13.2" x14ac:dyDescent="0.25">
      <c r="G1112" s="2"/>
    </row>
    <row r="1113" spans="7:7" ht="13.2" x14ac:dyDescent="0.25">
      <c r="G1113" s="2"/>
    </row>
    <row r="1114" spans="7:7" ht="13.2" x14ac:dyDescent="0.25">
      <c r="G1114" s="2"/>
    </row>
    <row r="1115" spans="7:7" ht="13.2" x14ac:dyDescent="0.25">
      <c r="G1115" s="2"/>
    </row>
    <row r="1116" spans="7:7" ht="13.2" x14ac:dyDescent="0.25">
      <c r="G1116" s="2"/>
    </row>
    <row r="1117" spans="7:7" ht="13.2" x14ac:dyDescent="0.25">
      <c r="G1117" s="2"/>
    </row>
    <row r="1118" spans="7:7" ht="13.2" x14ac:dyDescent="0.25">
      <c r="G1118" s="2"/>
    </row>
    <row r="1119" spans="7:7" ht="13.2" x14ac:dyDescent="0.25">
      <c r="G1119" s="2"/>
    </row>
    <row r="1120" spans="7:7" ht="13.2" x14ac:dyDescent="0.25">
      <c r="G1120" s="2"/>
    </row>
    <row r="1121" spans="7:7" ht="13.2" x14ac:dyDescent="0.25">
      <c r="G1121" s="2"/>
    </row>
    <row r="1122" spans="7:7" ht="13.2" x14ac:dyDescent="0.25">
      <c r="G1122" s="2"/>
    </row>
    <row r="1123" spans="7:7" ht="13.2" x14ac:dyDescent="0.25">
      <c r="G1123" s="2"/>
    </row>
    <row r="1124" spans="7:7" ht="13.2" x14ac:dyDescent="0.25">
      <c r="G1124" s="2"/>
    </row>
    <row r="1125" spans="7:7" ht="13.2" x14ac:dyDescent="0.25">
      <c r="G1125" s="2"/>
    </row>
    <row r="1126" spans="7:7" ht="13.2" x14ac:dyDescent="0.25">
      <c r="G1126" s="2"/>
    </row>
    <row r="1127" spans="7:7" ht="13.2" x14ac:dyDescent="0.25">
      <c r="G1127" s="2"/>
    </row>
    <row r="1128" spans="7:7" ht="13.2" x14ac:dyDescent="0.25">
      <c r="G1128" s="2"/>
    </row>
    <row r="1129" spans="7:7" ht="13.2" x14ac:dyDescent="0.25">
      <c r="G1129" s="2"/>
    </row>
    <row r="1130" spans="7:7" ht="13.2" x14ac:dyDescent="0.25">
      <c r="G1130" s="2"/>
    </row>
    <row r="1131" spans="7:7" ht="13.2" x14ac:dyDescent="0.25">
      <c r="G1131" s="2"/>
    </row>
    <row r="1132" spans="7:7" ht="13.2" x14ac:dyDescent="0.25">
      <c r="G1132" s="2"/>
    </row>
    <row r="1133" spans="7:7" ht="13.2" x14ac:dyDescent="0.25">
      <c r="G1133" s="2"/>
    </row>
    <row r="1134" spans="7:7" ht="13.2" x14ac:dyDescent="0.25">
      <c r="G1134" s="2"/>
    </row>
    <row r="1135" spans="7:7" ht="13.2" x14ac:dyDescent="0.25">
      <c r="G1135" s="2"/>
    </row>
    <row r="1136" spans="7:7" ht="13.2" x14ac:dyDescent="0.25">
      <c r="G1136" s="2"/>
    </row>
    <row r="1137" spans="7:7" ht="13.2" x14ac:dyDescent="0.25">
      <c r="G1137" s="2"/>
    </row>
    <row r="1138" spans="7:7" ht="13.2" x14ac:dyDescent="0.25">
      <c r="G1138" s="2"/>
    </row>
    <row r="1139" spans="7:7" ht="13.2" x14ac:dyDescent="0.25">
      <c r="G1139" s="2"/>
    </row>
    <row r="1140" spans="7:7" ht="13.2" x14ac:dyDescent="0.25">
      <c r="G1140" s="2"/>
    </row>
    <row r="1141" spans="7:7" ht="13.2" x14ac:dyDescent="0.25">
      <c r="G1141" s="2"/>
    </row>
    <row r="1142" spans="7:7" ht="13.2" x14ac:dyDescent="0.25">
      <c r="G1142" s="2"/>
    </row>
    <row r="1143" spans="7:7" ht="13.2" x14ac:dyDescent="0.25">
      <c r="G1143" s="2"/>
    </row>
    <row r="1144" spans="7:7" ht="13.2" x14ac:dyDescent="0.25">
      <c r="G1144" s="2"/>
    </row>
    <row r="1145" spans="7:7" ht="13.2" x14ac:dyDescent="0.25">
      <c r="G1145" s="2"/>
    </row>
    <row r="1146" spans="7:7" ht="13.2" x14ac:dyDescent="0.25">
      <c r="G1146" s="2"/>
    </row>
    <row r="1147" spans="7:7" ht="13.2" x14ac:dyDescent="0.25">
      <c r="G1147" s="2"/>
    </row>
    <row r="1148" spans="7:7" ht="13.2" x14ac:dyDescent="0.25">
      <c r="G1148" s="2"/>
    </row>
    <row r="1149" spans="7:7" ht="13.2" x14ac:dyDescent="0.25">
      <c r="G1149" s="2"/>
    </row>
    <row r="1150" spans="7:7" ht="13.2" x14ac:dyDescent="0.25">
      <c r="G1150" s="2"/>
    </row>
    <row r="1151" spans="7:7" ht="13.2" x14ac:dyDescent="0.25">
      <c r="G1151" s="2"/>
    </row>
    <row r="1152" spans="7:7" ht="13.2" x14ac:dyDescent="0.25">
      <c r="G1152" s="2"/>
    </row>
    <row r="1153" spans="7:7" ht="13.2" x14ac:dyDescent="0.25">
      <c r="G1153" s="2"/>
    </row>
    <row r="1154" spans="7:7" ht="13.2" x14ac:dyDescent="0.25">
      <c r="G1154" s="2"/>
    </row>
    <row r="1155" spans="7:7" ht="13.2" x14ac:dyDescent="0.25">
      <c r="G1155" s="2"/>
    </row>
    <row r="1156" spans="7:7" ht="13.2" x14ac:dyDescent="0.25">
      <c r="G1156" s="2"/>
    </row>
    <row r="1157" spans="7:7" ht="13.2" x14ac:dyDescent="0.25">
      <c r="G1157" s="2"/>
    </row>
    <row r="1158" spans="7:7" ht="13.2" x14ac:dyDescent="0.25">
      <c r="G1158" s="2"/>
    </row>
    <row r="1159" spans="7:7" ht="13.2" x14ac:dyDescent="0.25">
      <c r="G1159" s="2"/>
    </row>
    <row r="1160" spans="7:7" ht="13.2" x14ac:dyDescent="0.25">
      <c r="G1160" s="2"/>
    </row>
    <row r="1161" spans="7:7" ht="13.2" x14ac:dyDescent="0.25">
      <c r="G1161" s="2"/>
    </row>
    <row r="1162" spans="7:7" ht="13.2" x14ac:dyDescent="0.25">
      <c r="G1162" s="2"/>
    </row>
    <row r="1163" spans="7:7" ht="13.2" x14ac:dyDescent="0.25">
      <c r="G1163" s="2"/>
    </row>
    <row r="1164" spans="7:7" ht="13.2" x14ac:dyDescent="0.25">
      <c r="G1164" s="2"/>
    </row>
    <row r="1165" spans="7:7" ht="13.2" x14ac:dyDescent="0.25">
      <c r="G1165" s="2"/>
    </row>
    <row r="1166" spans="7:7" ht="13.2" x14ac:dyDescent="0.25">
      <c r="G1166" s="2"/>
    </row>
    <row r="1167" spans="7:7" ht="13.2" x14ac:dyDescent="0.25">
      <c r="G1167" s="2"/>
    </row>
    <row r="1168" spans="7:7" ht="13.2" x14ac:dyDescent="0.25">
      <c r="G1168" s="2"/>
    </row>
    <row r="1169" spans="7:7" ht="13.2" x14ac:dyDescent="0.25">
      <c r="G1169" s="2"/>
    </row>
    <row r="1170" spans="7:7" ht="13.2" x14ac:dyDescent="0.25">
      <c r="G1170" s="2"/>
    </row>
    <row r="1171" spans="7:7" ht="13.2" x14ac:dyDescent="0.25">
      <c r="G1171" s="2"/>
    </row>
    <row r="1172" spans="7:7" ht="13.2" x14ac:dyDescent="0.25">
      <c r="G1172" s="2"/>
    </row>
    <row r="1173" spans="7:7" ht="13.2" x14ac:dyDescent="0.25">
      <c r="G1173" s="2"/>
    </row>
    <row r="1174" spans="7:7" ht="13.2" x14ac:dyDescent="0.25">
      <c r="G1174" s="2"/>
    </row>
    <row r="1175" spans="7:7" ht="13.2" x14ac:dyDescent="0.25">
      <c r="G1175" s="2"/>
    </row>
    <row r="1176" spans="7:7" ht="13.2" x14ac:dyDescent="0.25">
      <c r="G1176" s="2"/>
    </row>
    <row r="1177" spans="7:7" ht="13.2" x14ac:dyDescent="0.25">
      <c r="G1177" s="2"/>
    </row>
    <row r="1178" spans="7:7" ht="13.2" x14ac:dyDescent="0.25">
      <c r="G1178" s="2"/>
    </row>
    <row r="1179" spans="7:7" ht="13.2" x14ac:dyDescent="0.25">
      <c r="G1179" s="2"/>
    </row>
    <row r="1180" spans="7:7" ht="13.2" x14ac:dyDescent="0.25">
      <c r="G1180" s="2"/>
    </row>
    <row r="1181" spans="7:7" ht="13.2" x14ac:dyDescent="0.25">
      <c r="G1181" s="2"/>
    </row>
    <row r="1182" spans="7:7" ht="13.2" x14ac:dyDescent="0.25">
      <c r="G1182" s="2"/>
    </row>
    <row r="1183" spans="7:7" ht="13.2" x14ac:dyDescent="0.25">
      <c r="G1183" s="2"/>
    </row>
    <row r="1184" spans="7:7" ht="13.2" x14ac:dyDescent="0.25">
      <c r="G1184" s="2"/>
    </row>
    <row r="1185" spans="7:7" ht="13.2" x14ac:dyDescent="0.25">
      <c r="G1185" s="2"/>
    </row>
    <row r="1186" spans="7:7" ht="13.2" x14ac:dyDescent="0.25">
      <c r="G1186" s="2"/>
    </row>
    <row r="1187" spans="7:7" ht="13.2" x14ac:dyDescent="0.25">
      <c r="G1187" s="2"/>
    </row>
    <row r="1188" spans="7:7" ht="13.2" x14ac:dyDescent="0.25">
      <c r="G1188" s="2"/>
    </row>
    <row r="1189" spans="7:7" ht="13.2" x14ac:dyDescent="0.25">
      <c r="G1189" s="2"/>
    </row>
    <row r="1190" spans="7:7" ht="13.2" x14ac:dyDescent="0.25">
      <c r="G1190" s="2"/>
    </row>
    <row r="1191" spans="7:7" ht="13.2" x14ac:dyDescent="0.25">
      <c r="G1191" s="2"/>
    </row>
    <row r="1192" spans="7:7" ht="13.2" x14ac:dyDescent="0.25">
      <c r="G1192" s="2"/>
    </row>
    <row r="1193" spans="7:7" ht="13.2" x14ac:dyDescent="0.25">
      <c r="G1193" s="2"/>
    </row>
    <row r="1194" spans="7:7" ht="13.2" x14ac:dyDescent="0.25">
      <c r="G1194" s="2"/>
    </row>
    <row r="1195" spans="7:7" ht="13.2" x14ac:dyDescent="0.25">
      <c r="G1195" s="2"/>
    </row>
    <row r="1196" spans="7:7" ht="13.2" x14ac:dyDescent="0.25">
      <c r="G1196" s="2"/>
    </row>
    <row r="1197" spans="7:7" ht="13.2" x14ac:dyDescent="0.25">
      <c r="G1197" s="2"/>
    </row>
    <row r="1198" spans="7:7" ht="13.2" x14ac:dyDescent="0.25">
      <c r="G1198" s="2"/>
    </row>
    <row r="1199" spans="7:7" ht="13.2" x14ac:dyDescent="0.25">
      <c r="G1199" s="2"/>
    </row>
    <row r="1200" spans="7:7" ht="13.2" x14ac:dyDescent="0.25">
      <c r="G1200" s="2"/>
    </row>
    <row r="1201" spans="7:7" ht="13.2" x14ac:dyDescent="0.25">
      <c r="G1201" s="2"/>
    </row>
    <row r="1202" spans="7:7" ht="13.2" x14ac:dyDescent="0.25">
      <c r="G1202" s="2"/>
    </row>
    <row r="1203" spans="7:7" ht="13.2" x14ac:dyDescent="0.25">
      <c r="G1203" s="2"/>
    </row>
    <row r="1204" spans="7:7" ht="13.2" x14ac:dyDescent="0.25">
      <c r="G1204" s="2"/>
    </row>
    <row r="1205" spans="7:7" ht="13.2" x14ac:dyDescent="0.25">
      <c r="G1205" s="2"/>
    </row>
    <row r="1206" spans="7:7" ht="13.2" x14ac:dyDescent="0.25">
      <c r="G1206" s="2"/>
    </row>
    <row r="1207" spans="7:7" ht="13.2" x14ac:dyDescent="0.25">
      <c r="G1207" s="2"/>
    </row>
    <row r="1208" spans="7:7" ht="13.2" x14ac:dyDescent="0.25">
      <c r="G1208" s="2"/>
    </row>
    <row r="1209" spans="7:7" ht="13.2" x14ac:dyDescent="0.25">
      <c r="G1209" s="2"/>
    </row>
    <row r="1210" spans="7:7" ht="13.2" x14ac:dyDescent="0.25">
      <c r="G1210" s="2"/>
    </row>
    <row r="1211" spans="7:7" ht="13.2" x14ac:dyDescent="0.25">
      <c r="G1211" s="2"/>
    </row>
    <row r="1212" spans="7:7" ht="13.2" x14ac:dyDescent="0.25">
      <c r="G1212" s="2"/>
    </row>
    <row r="1213" spans="7:7" ht="13.2" x14ac:dyDescent="0.25">
      <c r="G1213" s="2"/>
    </row>
    <row r="1214" spans="7:7" ht="13.2" x14ac:dyDescent="0.25">
      <c r="G1214" s="2"/>
    </row>
    <row r="1215" spans="7:7" ht="13.2" x14ac:dyDescent="0.25">
      <c r="G1215" s="2"/>
    </row>
    <row r="1216" spans="7:7" ht="13.2" x14ac:dyDescent="0.25">
      <c r="G1216" s="2"/>
    </row>
    <row r="1217" spans="7:7" ht="13.2" x14ac:dyDescent="0.25">
      <c r="G1217" s="2"/>
    </row>
    <row r="1218" spans="7:7" ht="13.2" x14ac:dyDescent="0.25">
      <c r="G1218" s="2"/>
    </row>
    <row r="1219" spans="7:7" ht="13.2" x14ac:dyDescent="0.25">
      <c r="G1219" s="2"/>
    </row>
    <row r="1220" spans="7:7" ht="13.2" x14ac:dyDescent="0.25">
      <c r="G1220" s="2"/>
    </row>
    <row r="1221" spans="7:7" ht="13.2" x14ac:dyDescent="0.25">
      <c r="G1221" s="2"/>
    </row>
    <row r="1222" spans="7:7" ht="13.2" x14ac:dyDescent="0.25">
      <c r="G1222" s="2"/>
    </row>
    <row r="1223" spans="7:7" ht="13.2" x14ac:dyDescent="0.25">
      <c r="G1223" s="2"/>
    </row>
    <row r="1224" spans="7:7" ht="13.2" x14ac:dyDescent="0.25">
      <c r="G1224" s="2"/>
    </row>
    <row r="1225" spans="7:7" ht="13.2" x14ac:dyDescent="0.25">
      <c r="G1225" s="2"/>
    </row>
    <row r="1226" spans="7:7" ht="13.2" x14ac:dyDescent="0.25">
      <c r="G1226" s="2"/>
    </row>
    <row r="1227" spans="7:7" ht="13.2" x14ac:dyDescent="0.25">
      <c r="G1227" s="2"/>
    </row>
    <row r="1228" spans="7:7" ht="13.2" x14ac:dyDescent="0.25">
      <c r="G1228" s="2"/>
    </row>
    <row r="1229" spans="7:7" ht="13.2" x14ac:dyDescent="0.25">
      <c r="G1229" s="2"/>
    </row>
    <row r="1230" spans="7:7" ht="13.2" x14ac:dyDescent="0.25">
      <c r="G1230" s="2"/>
    </row>
    <row r="1231" spans="7:7" ht="13.2" x14ac:dyDescent="0.25">
      <c r="G1231" s="2"/>
    </row>
    <row r="1232" spans="7:7" ht="13.2" x14ac:dyDescent="0.25">
      <c r="G1232" s="2"/>
    </row>
    <row r="1233" spans="7:7" ht="13.2" x14ac:dyDescent="0.25">
      <c r="G1233" s="2"/>
    </row>
    <row r="1234" spans="7:7" ht="13.2" x14ac:dyDescent="0.25">
      <c r="G1234" s="2"/>
    </row>
    <row r="1235" spans="7:7" ht="13.2" x14ac:dyDescent="0.25">
      <c r="G1235" s="2"/>
    </row>
    <row r="1236" spans="7:7" ht="13.2" x14ac:dyDescent="0.25">
      <c r="G1236" s="2"/>
    </row>
    <row r="1237" spans="7:7" ht="13.2" x14ac:dyDescent="0.25">
      <c r="G1237" s="2"/>
    </row>
    <row r="1238" spans="7:7" ht="13.2" x14ac:dyDescent="0.25">
      <c r="G1238" s="2"/>
    </row>
    <row r="1239" spans="7:7" ht="13.2" x14ac:dyDescent="0.25">
      <c r="G1239" s="2"/>
    </row>
    <row r="1240" spans="7:7" ht="13.2" x14ac:dyDescent="0.25">
      <c r="G1240" s="2"/>
    </row>
    <row r="1241" spans="7:7" ht="13.2" x14ac:dyDescent="0.25">
      <c r="G1241" s="2"/>
    </row>
    <row r="1242" spans="7:7" ht="13.2" x14ac:dyDescent="0.25">
      <c r="G1242" s="2"/>
    </row>
    <row r="1243" spans="7:7" ht="13.2" x14ac:dyDescent="0.25">
      <c r="G1243" s="2"/>
    </row>
    <row r="1244" spans="7:7" ht="13.2" x14ac:dyDescent="0.25">
      <c r="G1244" s="2"/>
    </row>
    <row r="1245" spans="7:7" ht="13.2" x14ac:dyDescent="0.25">
      <c r="G1245" s="2"/>
    </row>
    <row r="1246" spans="7:7" ht="13.2" x14ac:dyDescent="0.25">
      <c r="G1246" s="2"/>
    </row>
    <row r="1247" spans="7:7" ht="13.2" x14ac:dyDescent="0.25">
      <c r="G1247" s="2"/>
    </row>
    <row r="1248" spans="7:7" ht="13.2" x14ac:dyDescent="0.25">
      <c r="G1248" s="2"/>
    </row>
    <row r="1249" spans="7:7" ht="13.2" x14ac:dyDescent="0.25">
      <c r="G1249" s="2"/>
    </row>
    <row r="1250" spans="7:7" ht="13.2" x14ac:dyDescent="0.25">
      <c r="G1250" s="2"/>
    </row>
    <row r="1251" spans="7:7" ht="13.2" x14ac:dyDescent="0.25">
      <c r="G1251" s="2"/>
    </row>
    <row r="1252" spans="7:7" ht="13.2" x14ac:dyDescent="0.25">
      <c r="G1252" s="2"/>
    </row>
    <row r="1253" spans="7:7" ht="13.2" x14ac:dyDescent="0.25">
      <c r="G1253" s="2"/>
    </row>
    <row r="1254" spans="7:7" ht="13.2" x14ac:dyDescent="0.25">
      <c r="G1254" s="2"/>
    </row>
    <row r="1255" spans="7:7" ht="13.2" x14ac:dyDescent="0.25">
      <c r="G1255" s="2"/>
    </row>
    <row r="1256" spans="7:7" ht="13.2" x14ac:dyDescent="0.25">
      <c r="G1256" s="2"/>
    </row>
    <row r="1257" spans="7:7" ht="13.2" x14ac:dyDescent="0.25">
      <c r="G1257" s="2"/>
    </row>
    <row r="1258" spans="7:7" ht="13.2" x14ac:dyDescent="0.25">
      <c r="G1258" s="2"/>
    </row>
    <row r="1259" spans="7:7" ht="13.2" x14ac:dyDescent="0.25">
      <c r="G1259" s="2"/>
    </row>
    <row r="1260" spans="7:7" ht="13.2" x14ac:dyDescent="0.25">
      <c r="G1260" s="2"/>
    </row>
    <row r="1261" spans="7:7" ht="13.2" x14ac:dyDescent="0.25">
      <c r="G1261" s="2"/>
    </row>
    <row r="1262" spans="7:7" ht="13.2" x14ac:dyDescent="0.25">
      <c r="G1262" s="2"/>
    </row>
    <row r="1263" spans="7:7" ht="13.2" x14ac:dyDescent="0.25">
      <c r="G1263" s="2"/>
    </row>
    <row r="1264" spans="7:7" ht="13.2" x14ac:dyDescent="0.25">
      <c r="G1264" s="2"/>
    </row>
    <row r="1265" spans="7:7" ht="13.2" x14ac:dyDescent="0.25">
      <c r="G1265" s="2"/>
    </row>
    <row r="1266" spans="7:7" ht="13.2" x14ac:dyDescent="0.25">
      <c r="G1266" s="2"/>
    </row>
    <row r="1267" spans="7:7" ht="13.2" x14ac:dyDescent="0.25">
      <c r="G1267" s="2"/>
    </row>
    <row r="1268" spans="7:7" ht="13.2" x14ac:dyDescent="0.25">
      <c r="G1268" s="2"/>
    </row>
    <row r="1269" spans="7:7" ht="13.2" x14ac:dyDescent="0.25">
      <c r="G1269" s="2"/>
    </row>
    <row r="1270" spans="7:7" ht="13.2" x14ac:dyDescent="0.25">
      <c r="G1270" s="2"/>
    </row>
    <row r="1271" spans="7:7" ht="13.2" x14ac:dyDescent="0.25">
      <c r="G1271" s="2"/>
    </row>
    <row r="1272" spans="7:7" ht="13.2" x14ac:dyDescent="0.25">
      <c r="G1272" s="2"/>
    </row>
    <row r="1273" spans="7:7" ht="13.2" x14ac:dyDescent="0.25">
      <c r="G1273" s="2"/>
    </row>
    <row r="1274" spans="7:7" ht="13.2" x14ac:dyDescent="0.25">
      <c r="G1274" s="2"/>
    </row>
    <row r="1275" spans="7:7" ht="13.2" x14ac:dyDescent="0.25">
      <c r="G1275" s="2"/>
    </row>
    <row r="1276" spans="7:7" ht="13.2" x14ac:dyDescent="0.25">
      <c r="G1276" s="2"/>
    </row>
    <row r="1277" spans="7:7" ht="13.2" x14ac:dyDescent="0.25">
      <c r="G1277" s="2"/>
    </row>
    <row r="1278" spans="7:7" ht="13.2" x14ac:dyDescent="0.25">
      <c r="G1278" s="2"/>
    </row>
    <row r="1279" spans="7:7" ht="13.2" x14ac:dyDescent="0.25">
      <c r="G1279" s="2"/>
    </row>
    <row r="1280" spans="7:7" ht="13.2" x14ac:dyDescent="0.25">
      <c r="G1280" s="2"/>
    </row>
    <row r="1281" spans="7:7" ht="13.2" x14ac:dyDescent="0.25">
      <c r="G1281" s="2"/>
    </row>
    <row r="1282" spans="7:7" ht="13.2" x14ac:dyDescent="0.25">
      <c r="G1282" s="2"/>
    </row>
    <row r="1283" spans="7:7" ht="13.2" x14ac:dyDescent="0.25">
      <c r="G1283" s="2"/>
    </row>
    <row r="1284" spans="7:7" ht="13.2" x14ac:dyDescent="0.25">
      <c r="G1284" s="2"/>
    </row>
    <row r="1285" spans="7:7" ht="13.2" x14ac:dyDescent="0.25">
      <c r="G1285" s="2"/>
    </row>
    <row r="1286" spans="7:7" ht="13.2" x14ac:dyDescent="0.25">
      <c r="G1286" s="2"/>
    </row>
    <row r="1287" spans="7:7" ht="13.2" x14ac:dyDescent="0.25">
      <c r="G1287" s="2"/>
    </row>
    <row r="1288" spans="7:7" ht="13.2" x14ac:dyDescent="0.25">
      <c r="G1288" s="2"/>
    </row>
    <row r="1289" spans="7:7" ht="13.2" x14ac:dyDescent="0.25">
      <c r="G1289" s="2"/>
    </row>
    <row r="1290" spans="7:7" ht="13.2" x14ac:dyDescent="0.25">
      <c r="G1290" s="2"/>
    </row>
    <row r="1291" spans="7:7" ht="13.2" x14ac:dyDescent="0.25">
      <c r="G1291" s="2"/>
    </row>
    <row r="1292" spans="7:7" ht="13.2" x14ac:dyDescent="0.25">
      <c r="G1292" s="2"/>
    </row>
    <row r="1293" spans="7:7" ht="13.2" x14ac:dyDescent="0.25">
      <c r="G1293" s="2"/>
    </row>
    <row r="1294" spans="7:7" ht="13.2" x14ac:dyDescent="0.25">
      <c r="G1294" s="2"/>
    </row>
    <row r="1295" spans="7:7" ht="13.2" x14ac:dyDescent="0.25">
      <c r="G1295" s="2"/>
    </row>
    <row r="1296" spans="7:7" ht="13.2" x14ac:dyDescent="0.25">
      <c r="G1296" s="2"/>
    </row>
    <row r="1297" spans="7:7" ht="13.2" x14ac:dyDescent="0.25">
      <c r="G1297" s="2"/>
    </row>
    <row r="1298" spans="7:7" ht="13.2" x14ac:dyDescent="0.25">
      <c r="G1298" s="2"/>
    </row>
    <row r="1299" spans="7:7" ht="13.2" x14ac:dyDescent="0.25">
      <c r="G1299" s="2"/>
    </row>
    <row r="1300" spans="7:7" ht="13.2" x14ac:dyDescent="0.25">
      <c r="G1300" s="2"/>
    </row>
    <row r="1301" spans="7:7" ht="13.2" x14ac:dyDescent="0.25">
      <c r="G1301" s="2"/>
    </row>
    <row r="1302" spans="7:7" ht="13.2" x14ac:dyDescent="0.25">
      <c r="G1302" s="2"/>
    </row>
    <row r="1303" spans="7:7" ht="13.2" x14ac:dyDescent="0.25">
      <c r="G1303" s="2"/>
    </row>
    <row r="1304" spans="7:7" ht="13.2" x14ac:dyDescent="0.25">
      <c r="G1304" s="2"/>
    </row>
    <row r="1305" spans="7:7" ht="13.2" x14ac:dyDescent="0.25">
      <c r="G1305" s="2"/>
    </row>
    <row r="1306" spans="7:7" ht="13.2" x14ac:dyDescent="0.25">
      <c r="G1306" s="2"/>
    </row>
    <row r="1307" spans="7:7" ht="13.2" x14ac:dyDescent="0.25">
      <c r="G1307" s="2"/>
    </row>
    <row r="1308" spans="7:7" ht="13.2" x14ac:dyDescent="0.25">
      <c r="G1308" s="2"/>
    </row>
    <row r="1309" spans="7:7" ht="13.2" x14ac:dyDescent="0.25">
      <c r="G1309" s="2"/>
    </row>
    <row r="1310" spans="7:7" ht="13.2" x14ac:dyDescent="0.25">
      <c r="G1310" s="2"/>
    </row>
    <row r="1311" spans="7:7" ht="13.2" x14ac:dyDescent="0.25">
      <c r="G1311" s="2"/>
    </row>
    <row r="1312" spans="7:7" ht="13.2" x14ac:dyDescent="0.25">
      <c r="G1312" s="2"/>
    </row>
    <row r="1313" spans="7:7" ht="13.2" x14ac:dyDescent="0.25">
      <c r="G1313" s="2"/>
    </row>
    <row r="1314" spans="7:7" ht="13.2" x14ac:dyDescent="0.25">
      <c r="G1314" s="2"/>
    </row>
    <row r="1315" spans="7:7" ht="13.2" x14ac:dyDescent="0.25">
      <c r="G1315" s="2"/>
    </row>
    <row r="1316" spans="7:7" ht="13.2" x14ac:dyDescent="0.25">
      <c r="G1316" s="2"/>
    </row>
    <row r="1317" spans="7:7" ht="13.2" x14ac:dyDescent="0.25">
      <c r="G1317" s="2"/>
    </row>
    <row r="1318" spans="7:7" ht="13.2" x14ac:dyDescent="0.25">
      <c r="G1318" s="2"/>
    </row>
    <row r="1319" spans="7:7" ht="13.2" x14ac:dyDescent="0.25">
      <c r="G1319" s="2"/>
    </row>
    <row r="1320" spans="7:7" ht="13.2" x14ac:dyDescent="0.25">
      <c r="G1320" s="2"/>
    </row>
    <row r="1321" spans="7:7" ht="13.2" x14ac:dyDescent="0.25">
      <c r="G1321" s="2"/>
    </row>
    <row r="1322" spans="7:7" ht="13.2" x14ac:dyDescent="0.25">
      <c r="G1322" s="2"/>
    </row>
    <row r="1323" spans="7:7" ht="13.2" x14ac:dyDescent="0.25">
      <c r="G1323" s="2"/>
    </row>
    <row r="1324" spans="7:7" ht="13.2" x14ac:dyDescent="0.25">
      <c r="G1324" s="2"/>
    </row>
    <row r="1325" spans="7:7" ht="13.2" x14ac:dyDescent="0.25">
      <c r="G1325" s="2"/>
    </row>
    <row r="1326" spans="7:7" ht="13.2" x14ac:dyDescent="0.25">
      <c r="G1326" s="2"/>
    </row>
    <row r="1327" spans="7:7" ht="13.2" x14ac:dyDescent="0.25">
      <c r="G1327" s="2"/>
    </row>
    <row r="1328" spans="7:7" ht="13.2" x14ac:dyDescent="0.25">
      <c r="G1328" s="2"/>
    </row>
    <row r="1329" spans="7:7" ht="13.2" x14ac:dyDescent="0.25">
      <c r="G1329" s="2"/>
    </row>
    <row r="1330" spans="7:7" ht="13.2" x14ac:dyDescent="0.25">
      <c r="G1330" s="2"/>
    </row>
    <row r="1331" spans="7:7" ht="13.2" x14ac:dyDescent="0.25">
      <c r="G1331" s="2"/>
    </row>
    <row r="1332" spans="7:7" ht="13.2" x14ac:dyDescent="0.25">
      <c r="G1332" s="2"/>
    </row>
    <row r="1333" spans="7:7" ht="13.2" x14ac:dyDescent="0.25">
      <c r="G1333" s="2"/>
    </row>
    <row r="1334" spans="7:7" ht="13.2" x14ac:dyDescent="0.25">
      <c r="G1334" s="2"/>
    </row>
    <row r="1335" spans="7:7" ht="13.2" x14ac:dyDescent="0.25">
      <c r="G1335" s="2"/>
    </row>
    <row r="1336" spans="7:7" ht="13.2" x14ac:dyDescent="0.25">
      <c r="G1336" s="2"/>
    </row>
    <row r="1337" spans="7:7" ht="13.2" x14ac:dyDescent="0.25">
      <c r="G1337" s="2"/>
    </row>
    <row r="1338" spans="7:7" ht="13.2" x14ac:dyDescent="0.25">
      <c r="G1338" s="2"/>
    </row>
    <row r="1339" spans="7:7" ht="13.2" x14ac:dyDescent="0.25">
      <c r="G1339" s="2"/>
    </row>
    <row r="1340" spans="7:7" ht="13.2" x14ac:dyDescent="0.25">
      <c r="G1340" s="2"/>
    </row>
    <row r="1341" spans="7:7" ht="13.2" x14ac:dyDescent="0.25">
      <c r="G1341" s="2"/>
    </row>
    <row r="1342" spans="7:7" ht="13.2" x14ac:dyDescent="0.25">
      <c r="G1342" s="2"/>
    </row>
    <row r="1343" spans="7:7" ht="13.2" x14ac:dyDescent="0.25">
      <c r="G1343" s="2"/>
    </row>
    <row r="1344" spans="7:7" ht="13.2" x14ac:dyDescent="0.25">
      <c r="G1344" s="2"/>
    </row>
    <row r="1345" spans="7:7" ht="13.2" x14ac:dyDescent="0.25">
      <c r="G1345" s="2"/>
    </row>
    <row r="1346" spans="7:7" ht="13.2" x14ac:dyDescent="0.25">
      <c r="G1346" s="2"/>
    </row>
    <row r="1347" spans="7:7" ht="13.2" x14ac:dyDescent="0.25">
      <c r="G1347" s="2"/>
    </row>
    <row r="1348" spans="7:7" ht="13.2" x14ac:dyDescent="0.25">
      <c r="G1348" s="2"/>
    </row>
    <row r="1349" spans="7:7" ht="13.2" x14ac:dyDescent="0.25">
      <c r="G1349" s="2"/>
    </row>
    <row r="1350" spans="7:7" ht="13.2" x14ac:dyDescent="0.25">
      <c r="G1350" s="2"/>
    </row>
    <row r="1351" spans="7:7" ht="13.2" x14ac:dyDescent="0.25">
      <c r="G1351" s="2"/>
    </row>
    <row r="1352" spans="7:7" ht="13.2" x14ac:dyDescent="0.25">
      <c r="G1352" s="2"/>
    </row>
    <row r="1353" spans="7:7" ht="13.2" x14ac:dyDescent="0.25">
      <c r="G1353" s="2"/>
    </row>
    <row r="1354" spans="7:7" ht="13.2" x14ac:dyDescent="0.25">
      <c r="G1354" s="2"/>
    </row>
    <row r="1355" spans="7:7" ht="13.2" x14ac:dyDescent="0.25">
      <c r="G1355" s="2"/>
    </row>
    <row r="1356" spans="7:7" ht="13.2" x14ac:dyDescent="0.25">
      <c r="G1356" s="2"/>
    </row>
    <row r="1357" spans="7:7" ht="13.2" x14ac:dyDescent="0.25">
      <c r="G1357" s="2"/>
    </row>
    <row r="1358" spans="7:7" ht="13.2" x14ac:dyDescent="0.25">
      <c r="G1358" s="2"/>
    </row>
    <row r="1359" spans="7:7" ht="13.2" x14ac:dyDescent="0.25">
      <c r="G1359" s="2"/>
    </row>
    <row r="1360" spans="7:7" ht="13.2" x14ac:dyDescent="0.25">
      <c r="G1360" s="2"/>
    </row>
    <row r="1361" spans="7:7" ht="13.2" x14ac:dyDescent="0.25">
      <c r="G1361" s="2"/>
    </row>
    <row r="1362" spans="7:7" ht="13.2" x14ac:dyDescent="0.25">
      <c r="G1362" s="2"/>
    </row>
    <row r="1363" spans="7:7" ht="13.2" x14ac:dyDescent="0.25">
      <c r="G1363" s="2"/>
    </row>
    <row r="1364" spans="7:7" ht="13.2" x14ac:dyDescent="0.25">
      <c r="G1364" s="2"/>
    </row>
    <row r="1365" spans="7:7" ht="13.2" x14ac:dyDescent="0.25">
      <c r="G1365" s="2"/>
    </row>
    <row r="1366" spans="7:7" ht="13.2" x14ac:dyDescent="0.25">
      <c r="G1366" s="2"/>
    </row>
    <row r="1367" spans="7:7" ht="13.2" x14ac:dyDescent="0.25">
      <c r="G1367" s="2"/>
    </row>
    <row r="1368" spans="7:7" ht="13.2" x14ac:dyDescent="0.25">
      <c r="G1368" s="2"/>
    </row>
    <row r="1369" spans="7:7" ht="13.2" x14ac:dyDescent="0.25">
      <c r="G1369" s="2"/>
    </row>
    <row r="1370" spans="7:7" ht="13.2" x14ac:dyDescent="0.25">
      <c r="G1370" s="2"/>
    </row>
    <row r="1371" spans="7:7" ht="13.2" x14ac:dyDescent="0.25">
      <c r="G1371" s="2"/>
    </row>
    <row r="1372" spans="7:7" ht="13.2" x14ac:dyDescent="0.25">
      <c r="G1372" s="2"/>
    </row>
    <row r="1373" spans="7:7" ht="13.2" x14ac:dyDescent="0.25">
      <c r="G1373" s="2"/>
    </row>
    <row r="1374" spans="7:7" ht="13.2" x14ac:dyDescent="0.25">
      <c r="G1374" s="2"/>
    </row>
    <row r="1375" spans="7:7" ht="13.2" x14ac:dyDescent="0.25">
      <c r="G1375" s="2"/>
    </row>
    <row r="1376" spans="7:7" ht="13.2" x14ac:dyDescent="0.25">
      <c r="G1376" s="2"/>
    </row>
    <row r="1377" spans="7:7" ht="13.2" x14ac:dyDescent="0.25">
      <c r="G1377" s="2"/>
    </row>
    <row r="1378" spans="7:7" ht="13.2" x14ac:dyDescent="0.25">
      <c r="G1378" s="2"/>
    </row>
    <row r="1379" spans="7:7" ht="13.2" x14ac:dyDescent="0.25">
      <c r="G1379" s="2"/>
    </row>
    <row r="1380" spans="7:7" ht="13.2" x14ac:dyDescent="0.25">
      <c r="G1380" s="2"/>
    </row>
    <row r="1381" spans="7:7" ht="13.2" x14ac:dyDescent="0.25">
      <c r="G1381" s="2"/>
    </row>
    <row r="1382" spans="7:7" ht="13.2" x14ac:dyDescent="0.25">
      <c r="G1382" s="2"/>
    </row>
    <row r="1383" spans="7:7" ht="13.2" x14ac:dyDescent="0.25">
      <c r="G1383" s="2"/>
    </row>
    <row r="1384" spans="7:7" ht="13.2" x14ac:dyDescent="0.25">
      <c r="G1384" s="2"/>
    </row>
    <row r="1385" spans="7:7" ht="13.2" x14ac:dyDescent="0.25">
      <c r="G1385" s="2"/>
    </row>
    <row r="1386" spans="7:7" ht="13.2" x14ac:dyDescent="0.25">
      <c r="G1386" s="2"/>
    </row>
    <row r="1387" spans="7:7" ht="13.2" x14ac:dyDescent="0.25">
      <c r="G1387" s="2"/>
    </row>
    <row r="1388" spans="7:7" ht="13.2" x14ac:dyDescent="0.25">
      <c r="G1388" s="2"/>
    </row>
    <row r="1389" spans="7:7" ht="13.2" x14ac:dyDescent="0.25">
      <c r="G1389" s="2"/>
    </row>
    <row r="1390" spans="7:7" ht="13.2" x14ac:dyDescent="0.25">
      <c r="G1390" s="2"/>
    </row>
    <row r="1391" spans="7:7" ht="13.2" x14ac:dyDescent="0.25">
      <c r="G1391" s="2"/>
    </row>
    <row r="1392" spans="7:7" ht="13.2" x14ac:dyDescent="0.25">
      <c r="G1392" s="2"/>
    </row>
    <row r="1393" spans="7:7" ht="13.2" x14ac:dyDescent="0.25">
      <c r="G1393" s="2"/>
    </row>
    <row r="1394" spans="7:7" ht="13.2" x14ac:dyDescent="0.25">
      <c r="G1394" s="2"/>
    </row>
    <row r="1395" spans="7:7" ht="13.2" x14ac:dyDescent="0.25">
      <c r="G1395" s="2"/>
    </row>
    <row r="1396" spans="7:7" ht="13.2" x14ac:dyDescent="0.25">
      <c r="G1396" s="2"/>
    </row>
    <row r="1397" spans="7:7" ht="13.2" x14ac:dyDescent="0.25">
      <c r="G1397" s="2"/>
    </row>
    <row r="1398" spans="7:7" ht="13.2" x14ac:dyDescent="0.25">
      <c r="G1398" s="2"/>
    </row>
    <row r="1399" spans="7:7" ht="13.2" x14ac:dyDescent="0.25">
      <c r="G1399" s="2"/>
    </row>
    <row r="1400" spans="7:7" ht="13.2" x14ac:dyDescent="0.25">
      <c r="G1400" s="2"/>
    </row>
    <row r="1401" spans="7:7" ht="13.2" x14ac:dyDescent="0.25">
      <c r="G1401" s="2"/>
    </row>
    <row r="1402" spans="7:7" ht="13.2" x14ac:dyDescent="0.25">
      <c r="G1402" s="2"/>
    </row>
    <row r="1403" spans="7:7" ht="13.2" x14ac:dyDescent="0.25">
      <c r="G1403" s="2"/>
    </row>
    <row r="1404" spans="7:7" ht="13.2" x14ac:dyDescent="0.25">
      <c r="G1404" s="2"/>
    </row>
    <row r="1405" spans="7:7" ht="13.2" x14ac:dyDescent="0.25">
      <c r="G1405" s="2"/>
    </row>
    <row r="1406" spans="7:7" ht="13.2" x14ac:dyDescent="0.25">
      <c r="G1406" s="2"/>
    </row>
    <row r="1407" spans="7:7" ht="13.2" x14ac:dyDescent="0.25">
      <c r="G1407" s="2"/>
    </row>
    <row r="1408" spans="7:7" ht="13.2" x14ac:dyDescent="0.25">
      <c r="G1408" s="2"/>
    </row>
    <row r="1409" spans="7:7" ht="13.2" x14ac:dyDescent="0.25">
      <c r="G1409" s="2"/>
    </row>
    <row r="1410" spans="7:7" ht="13.2" x14ac:dyDescent="0.25">
      <c r="G1410" s="2"/>
    </row>
    <row r="1411" spans="7:7" ht="13.2" x14ac:dyDescent="0.25">
      <c r="G1411" s="2"/>
    </row>
    <row r="1412" spans="7:7" ht="13.2" x14ac:dyDescent="0.25">
      <c r="G1412" s="2"/>
    </row>
    <row r="1413" spans="7:7" ht="13.2" x14ac:dyDescent="0.25">
      <c r="G1413" s="2"/>
    </row>
    <row r="1414" spans="7:7" ht="13.2" x14ac:dyDescent="0.25">
      <c r="G1414" s="2"/>
    </row>
    <row r="1415" spans="7:7" ht="13.2" x14ac:dyDescent="0.25">
      <c r="G1415" s="2"/>
    </row>
    <row r="1416" spans="7:7" ht="13.2" x14ac:dyDescent="0.25">
      <c r="G1416" s="2"/>
    </row>
    <row r="1417" spans="7:7" ht="13.2" x14ac:dyDescent="0.25">
      <c r="G1417" s="2"/>
    </row>
    <row r="1418" spans="7:7" ht="13.2" x14ac:dyDescent="0.25">
      <c r="G1418" s="2"/>
    </row>
    <row r="1419" spans="7:7" ht="13.2" x14ac:dyDescent="0.25">
      <c r="G1419" s="2"/>
    </row>
    <row r="1420" spans="7:7" ht="13.2" x14ac:dyDescent="0.25">
      <c r="G1420" s="2"/>
    </row>
    <row r="1421" spans="7:7" ht="13.2" x14ac:dyDescent="0.25">
      <c r="G1421" s="2"/>
    </row>
    <row r="1422" spans="7:7" ht="13.2" x14ac:dyDescent="0.25">
      <c r="G1422" s="2"/>
    </row>
    <row r="1423" spans="7:7" ht="13.2" x14ac:dyDescent="0.25">
      <c r="G1423" s="2"/>
    </row>
    <row r="1424" spans="7:7" ht="13.2" x14ac:dyDescent="0.25">
      <c r="G1424" s="2"/>
    </row>
    <row r="1425" spans="7:7" ht="13.2" x14ac:dyDescent="0.25">
      <c r="G1425" s="2"/>
    </row>
    <row r="1426" spans="7:7" ht="13.2" x14ac:dyDescent="0.25">
      <c r="G1426" s="2"/>
    </row>
    <row r="1427" spans="7:7" ht="13.2" x14ac:dyDescent="0.25">
      <c r="G1427" s="2"/>
    </row>
    <row r="1428" spans="7:7" ht="13.2" x14ac:dyDescent="0.25">
      <c r="G1428" s="2"/>
    </row>
    <row r="1429" spans="7:7" ht="13.2" x14ac:dyDescent="0.25">
      <c r="G1429" s="2"/>
    </row>
    <row r="1430" spans="7:7" ht="13.2" x14ac:dyDescent="0.25">
      <c r="G1430" s="2"/>
    </row>
    <row r="1431" spans="7:7" ht="13.2" x14ac:dyDescent="0.25">
      <c r="G1431" s="2"/>
    </row>
    <row r="1432" spans="7:7" ht="13.2" x14ac:dyDescent="0.25">
      <c r="G1432" s="2"/>
    </row>
    <row r="1433" spans="7:7" ht="13.2" x14ac:dyDescent="0.25">
      <c r="G1433" s="2"/>
    </row>
    <row r="1434" spans="7:7" ht="13.2" x14ac:dyDescent="0.25">
      <c r="G1434" s="2"/>
    </row>
    <row r="1435" spans="7:7" ht="13.2" x14ac:dyDescent="0.25">
      <c r="G1435" s="2"/>
    </row>
  </sheetData>
  <mergeCells count="6">
    <mergeCell ref="A1:T3"/>
    <mergeCell ref="A4:T4"/>
    <mergeCell ref="A7:A8"/>
    <mergeCell ref="B7:B8"/>
    <mergeCell ref="C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2024-04-15T05:32:26Z</dcterms:modified>
</cp:coreProperties>
</file>