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Financial Services Industry\"/>
    </mc:Choice>
  </mc:AlternateContent>
  <xr:revisionPtr revIDLastSave="0" documentId="13_ncr:1_{75B413C6-9ABC-4BC9-A69E-8B8AD17E5B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9" i="2" l="1"/>
  <c r="E519" i="2"/>
  <c r="D519" i="2"/>
  <c r="C519" i="2"/>
  <c r="F518" i="2"/>
  <c r="E518" i="2"/>
  <c r="D518" i="2"/>
  <c r="C518" i="2"/>
  <c r="F517" i="2"/>
  <c r="E517" i="2"/>
  <c r="D517" i="2"/>
  <c r="C517" i="2"/>
  <c r="K64" i="1" s="1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E507" i="2"/>
  <c r="D507" i="2"/>
  <c r="C507" i="2"/>
  <c r="F506" i="2"/>
  <c r="E506" i="2"/>
  <c r="D506" i="2"/>
  <c r="C506" i="2"/>
  <c r="F505" i="2"/>
  <c r="E505" i="2"/>
  <c r="D505" i="2"/>
  <c r="C505" i="2"/>
  <c r="J504" i="2"/>
  <c r="F504" i="2"/>
  <c r="E504" i="2"/>
  <c r="D504" i="2"/>
  <c r="C504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J491" i="2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C479" i="2"/>
  <c r="F478" i="2"/>
  <c r="E478" i="2"/>
  <c r="D478" i="2"/>
  <c r="C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F465" i="2"/>
  <c r="E465" i="2"/>
  <c r="D465" i="2"/>
  <c r="C465" i="2"/>
  <c r="C44" i="1" s="1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C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F398" i="2"/>
  <c r="E398" i="2"/>
  <c r="D398" i="2"/>
  <c r="C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5" i="2"/>
  <c r="E385" i="2"/>
  <c r="D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3" i="2"/>
  <c r="E333" i="2"/>
  <c r="D333" i="2"/>
  <c r="C333" i="2"/>
  <c r="F332" i="2"/>
  <c r="E332" i="2"/>
  <c r="D332" i="2"/>
  <c r="C332" i="2"/>
  <c r="F331" i="2"/>
  <c r="E331" i="2"/>
  <c r="D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E322" i="2"/>
  <c r="D322" i="2"/>
  <c r="C322" i="2"/>
  <c r="F320" i="2"/>
  <c r="E320" i="2"/>
  <c r="D320" i="2"/>
  <c r="C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C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C31" i="1" s="1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F287" i="2"/>
  <c r="E287" i="2"/>
  <c r="D287" i="2"/>
  <c r="C287" i="2"/>
  <c r="F286" i="2"/>
  <c r="E286" i="2"/>
  <c r="D286" i="2"/>
  <c r="C286" i="2"/>
  <c r="F285" i="2"/>
  <c r="E285" i="2"/>
  <c r="D285" i="2"/>
  <c r="C285" i="2"/>
  <c r="F284" i="2"/>
  <c r="E284" i="2"/>
  <c r="D284" i="2"/>
  <c r="C284" i="2"/>
  <c r="F283" i="2"/>
  <c r="E283" i="2"/>
  <c r="D283" i="2"/>
  <c r="C283" i="2"/>
  <c r="C30" i="1" s="1"/>
  <c r="F281" i="2"/>
  <c r="E281" i="2"/>
  <c r="D281" i="2"/>
  <c r="C281" i="2"/>
  <c r="F280" i="2"/>
  <c r="E280" i="2"/>
  <c r="D280" i="2"/>
  <c r="C280" i="2"/>
  <c r="F279" i="2"/>
  <c r="E279" i="2"/>
  <c r="D279" i="2"/>
  <c r="C279" i="2"/>
  <c r="F278" i="2"/>
  <c r="E278" i="2"/>
  <c r="D278" i="2"/>
  <c r="C278" i="2"/>
  <c r="F277" i="2"/>
  <c r="E277" i="2"/>
  <c r="D277" i="2"/>
  <c r="C277" i="2"/>
  <c r="F276" i="2"/>
  <c r="E276" i="2"/>
  <c r="D276" i="2"/>
  <c r="C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C271" i="2"/>
  <c r="F270" i="2"/>
  <c r="E270" i="2"/>
  <c r="D270" i="2"/>
  <c r="C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F260" i="2"/>
  <c r="E260" i="2"/>
  <c r="D260" i="2"/>
  <c r="C260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5" i="2"/>
  <c r="E255" i="2"/>
  <c r="D255" i="2"/>
  <c r="C255" i="2"/>
  <c r="F254" i="2"/>
  <c r="E254" i="2"/>
  <c r="D254" i="2"/>
  <c r="C254" i="2"/>
  <c r="F253" i="2"/>
  <c r="E253" i="2"/>
  <c r="D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D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2" i="2"/>
  <c r="E242" i="2"/>
  <c r="D242" i="2"/>
  <c r="C242" i="2"/>
  <c r="F241" i="2"/>
  <c r="E241" i="2"/>
  <c r="D241" i="2"/>
  <c r="C241" i="2"/>
  <c r="F240" i="2"/>
  <c r="E240" i="2"/>
  <c r="D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E236" i="2"/>
  <c r="D236" i="2"/>
  <c r="C236" i="2"/>
  <c r="F235" i="2"/>
  <c r="E235" i="2"/>
  <c r="D235" i="2"/>
  <c r="C235" i="2"/>
  <c r="F234" i="2"/>
  <c r="E234" i="2"/>
  <c r="D234" i="2"/>
  <c r="C234" i="2"/>
  <c r="F233" i="2"/>
  <c r="E233" i="2"/>
  <c r="D233" i="2"/>
  <c r="C233" i="2"/>
  <c r="F232" i="2"/>
  <c r="E232" i="2"/>
  <c r="D232" i="2"/>
  <c r="C232" i="2"/>
  <c r="F231" i="2"/>
  <c r="E231" i="2"/>
  <c r="D231" i="2"/>
  <c r="C231" i="2"/>
  <c r="F229" i="2"/>
  <c r="E229" i="2"/>
  <c r="D229" i="2"/>
  <c r="C229" i="2"/>
  <c r="F228" i="2"/>
  <c r="E228" i="2"/>
  <c r="D228" i="2"/>
  <c r="C228" i="2"/>
  <c r="F227" i="2"/>
  <c r="E227" i="2"/>
  <c r="D227" i="2"/>
  <c r="C227" i="2"/>
  <c r="F226" i="2"/>
  <c r="E226" i="2"/>
  <c r="D226" i="2"/>
  <c r="C226" i="2"/>
  <c r="F225" i="2"/>
  <c r="E225" i="2"/>
  <c r="D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D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E213" i="2"/>
  <c r="D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F209" i="2"/>
  <c r="E209" i="2"/>
  <c r="D209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C24" i="1" s="1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E199" i="2"/>
  <c r="D199" i="2"/>
  <c r="C199" i="2"/>
  <c r="F198" i="2"/>
  <c r="E198" i="2"/>
  <c r="D198" i="2"/>
  <c r="C198" i="2"/>
  <c r="F197" i="2"/>
  <c r="E197" i="2"/>
  <c r="D197" i="2"/>
  <c r="C197" i="2"/>
  <c r="F196" i="2"/>
  <c r="E196" i="2"/>
  <c r="D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F190" i="2"/>
  <c r="E190" i="2"/>
  <c r="D190" i="2"/>
  <c r="C190" i="2"/>
  <c r="F189" i="2"/>
  <c r="E189" i="2"/>
  <c r="D189" i="2"/>
  <c r="C189" i="2"/>
  <c r="F188" i="2"/>
  <c r="E188" i="2"/>
  <c r="D188" i="2"/>
  <c r="C188" i="2"/>
  <c r="F187" i="2"/>
  <c r="E187" i="2"/>
  <c r="D187" i="2"/>
  <c r="C187" i="2"/>
  <c r="F186" i="2"/>
  <c r="E186" i="2"/>
  <c r="D186" i="2"/>
  <c r="C186" i="2"/>
  <c r="F185" i="2"/>
  <c r="E185" i="2"/>
  <c r="D185" i="2"/>
  <c r="C185" i="2"/>
  <c r="F184" i="2"/>
  <c r="E184" i="2"/>
  <c r="D184" i="2"/>
  <c r="C184" i="2"/>
  <c r="F183" i="2"/>
  <c r="E183" i="2"/>
  <c r="D183" i="2"/>
  <c r="C183" i="2"/>
  <c r="F182" i="2"/>
  <c r="E182" i="2"/>
  <c r="D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7" i="2"/>
  <c r="E177" i="2"/>
  <c r="D177" i="2"/>
  <c r="C177" i="2"/>
  <c r="F176" i="2"/>
  <c r="E176" i="2"/>
  <c r="D176" i="2"/>
  <c r="C176" i="2"/>
  <c r="F175" i="2"/>
  <c r="E175" i="2"/>
  <c r="D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F171" i="2"/>
  <c r="E171" i="2"/>
  <c r="D171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4" i="2"/>
  <c r="E164" i="2"/>
  <c r="D164" i="2"/>
  <c r="C164" i="2"/>
  <c r="F163" i="2"/>
  <c r="E163" i="2"/>
  <c r="D163" i="2"/>
  <c r="C163" i="2"/>
  <c r="F162" i="2"/>
  <c r="E162" i="2"/>
  <c r="D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E157" i="2"/>
  <c r="D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F153" i="2"/>
  <c r="E153" i="2"/>
  <c r="D153" i="2"/>
  <c r="C153" i="2"/>
  <c r="F151" i="2"/>
  <c r="E151" i="2"/>
  <c r="D151" i="2"/>
  <c r="C151" i="2"/>
  <c r="F150" i="2"/>
  <c r="E150" i="2"/>
  <c r="D150" i="2"/>
  <c r="C150" i="2"/>
  <c r="F149" i="2"/>
  <c r="E149" i="2"/>
  <c r="D149" i="2"/>
  <c r="C149" i="2"/>
  <c r="F148" i="2"/>
  <c r="E148" i="2"/>
  <c r="D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D142" i="2"/>
  <c r="C142" i="2"/>
  <c r="F141" i="2"/>
  <c r="E141" i="2"/>
  <c r="D141" i="2"/>
  <c r="C141" i="2"/>
  <c r="F140" i="2"/>
  <c r="E140" i="2"/>
  <c r="D140" i="2"/>
  <c r="C140" i="2"/>
  <c r="F138" i="2"/>
  <c r="E138" i="2"/>
  <c r="D138" i="2"/>
  <c r="C138" i="2"/>
  <c r="F137" i="2"/>
  <c r="E137" i="2"/>
  <c r="D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E128" i="2"/>
  <c r="D128" i="2"/>
  <c r="C128" i="2"/>
  <c r="F127" i="2"/>
  <c r="E127" i="2"/>
  <c r="D127" i="2"/>
  <c r="C127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E120" i="2"/>
  <c r="D120" i="2"/>
  <c r="C120" i="2"/>
  <c r="F119" i="2"/>
  <c r="E119" i="2"/>
  <c r="D119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2" i="2"/>
  <c r="E112" i="2"/>
  <c r="D112" i="2"/>
  <c r="C112" i="2"/>
  <c r="F111" i="2"/>
  <c r="E111" i="2"/>
  <c r="D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C15" i="1" s="1"/>
  <c r="F86" i="2"/>
  <c r="E86" i="2"/>
  <c r="D86" i="2"/>
  <c r="C86" i="2"/>
  <c r="F85" i="2"/>
  <c r="E85" i="2"/>
  <c r="D85" i="2"/>
  <c r="C85" i="2"/>
  <c r="F84" i="2"/>
  <c r="E84" i="2"/>
  <c r="D84" i="2"/>
  <c r="C84" i="2"/>
  <c r="F83" i="2"/>
  <c r="E83" i="2"/>
  <c r="D83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C14" i="1" s="1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F11" i="2"/>
  <c r="E11" i="2"/>
  <c r="D11" i="2"/>
  <c r="F10" i="2"/>
  <c r="E10" i="2"/>
  <c r="D10" i="2"/>
  <c r="C10" i="2"/>
  <c r="J64" i="1"/>
  <c r="J63" i="1"/>
  <c r="J54" i="1"/>
  <c r="J53" i="1"/>
  <c r="B48" i="1"/>
  <c r="B49" i="1" s="1"/>
  <c r="J52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D44" i="1" l="1"/>
  <c r="C46" i="1"/>
  <c r="C27" i="1"/>
  <c r="C41" i="1"/>
  <c r="D11" i="1"/>
  <c r="C9" i="1"/>
  <c r="C43" i="1"/>
  <c r="C25" i="1"/>
  <c r="D41" i="1"/>
  <c r="C47" i="1"/>
  <c r="D31" i="1"/>
  <c r="C12" i="1"/>
  <c r="C28" i="1"/>
  <c r="C40" i="1"/>
  <c r="C13" i="1"/>
  <c r="C19" i="1"/>
  <c r="C21" i="1"/>
  <c r="C22" i="1"/>
  <c r="C36" i="1"/>
  <c r="C39" i="1"/>
  <c r="C16" i="1"/>
  <c r="C29" i="1"/>
  <c r="C32" i="1"/>
  <c r="C18" i="1"/>
  <c r="C23" i="1"/>
  <c r="C37" i="1"/>
  <c r="C42" i="1"/>
  <c r="K63" i="1"/>
  <c r="K67" i="1" s="1"/>
  <c r="C33" i="1"/>
  <c r="C11" i="1"/>
  <c r="C34" i="1"/>
  <c r="K504" i="2"/>
  <c r="C10" i="1"/>
  <c r="C17" i="1"/>
  <c r="C20" i="1"/>
  <c r="C26" i="1"/>
  <c r="C35" i="1"/>
  <c r="C38" i="1"/>
  <c r="K52" i="1"/>
  <c r="K491" i="2"/>
  <c r="K53" i="1"/>
  <c r="J59" i="1"/>
  <c r="D14" i="1"/>
  <c r="E28" i="1"/>
  <c r="F48" i="1"/>
  <c r="F49" i="1" s="1"/>
  <c r="E41" i="1"/>
  <c r="D25" i="1"/>
  <c r="E31" i="1"/>
  <c r="E25" i="1"/>
  <c r="D34" i="1"/>
  <c r="E18" i="1"/>
  <c r="E15" i="1"/>
  <c r="D12" i="1"/>
  <c r="D15" i="1"/>
  <c r="D27" i="1"/>
  <c r="E12" i="1"/>
  <c r="D30" i="1"/>
  <c r="D48" i="1"/>
  <c r="D49" i="1" s="1"/>
  <c r="E48" i="1"/>
  <c r="E49" i="1" s="1"/>
  <c r="D43" i="1"/>
  <c r="E44" i="1"/>
  <c r="D28" i="1"/>
  <c r="E34" i="1"/>
  <c r="F37" i="1"/>
  <c r="J60" i="1"/>
  <c r="J67" i="1"/>
  <c r="F21" i="1"/>
  <c r="F10" i="1"/>
  <c r="F11" i="1"/>
  <c r="F15" i="1"/>
  <c r="F20" i="1"/>
  <c r="F24" i="1"/>
  <c r="F26" i="1"/>
  <c r="F27" i="1"/>
  <c r="F38" i="1"/>
  <c r="F40" i="1"/>
  <c r="F41" i="1"/>
  <c r="F44" i="1"/>
  <c r="D47" i="1"/>
  <c r="F9" i="1"/>
  <c r="D19" i="1"/>
  <c r="D21" i="1"/>
  <c r="D29" i="1"/>
  <c r="D33" i="1"/>
  <c r="D35" i="1"/>
  <c r="D38" i="1"/>
  <c r="F47" i="1"/>
  <c r="E20" i="1"/>
  <c r="E24" i="1"/>
  <c r="E26" i="1"/>
  <c r="E30" i="1"/>
  <c r="E32" i="1"/>
  <c r="E39" i="1"/>
  <c r="E45" i="1"/>
  <c r="J50" i="1"/>
  <c r="F13" i="1"/>
  <c r="F16" i="1"/>
  <c r="F19" i="1"/>
  <c r="F22" i="1"/>
  <c r="F25" i="1"/>
  <c r="F28" i="1"/>
  <c r="F31" i="1"/>
  <c r="F32" i="1"/>
  <c r="F36" i="1"/>
  <c r="F43" i="1"/>
  <c r="F46" i="1"/>
  <c r="D10" i="1"/>
  <c r="D20" i="1"/>
  <c r="D23" i="1"/>
  <c r="D26" i="1"/>
  <c r="D37" i="1"/>
  <c r="D40" i="1"/>
  <c r="D42" i="1"/>
  <c r="E10" i="1"/>
  <c r="E11" i="1"/>
  <c r="E14" i="1"/>
  <c r="E16" i="1"/>
  <c r="E21" i="1"/>
  <c r="E23" i="1"/>
  <c r="E27" i="1"/>
  <c r="E33" i="1"/>
  <c r="E37" i="1"/>
  <c r="E40" i="1"/>
  <c r="E42" i="1"/>
  <c r="D46" i="1"/>
  <c r="E46" i="1"/>
  <c r="F17" i="1"/>
  <c r="F18" i="1"/>
  <c r="F23" i="1"/>
  <c r="F29" i="1"/>
  <c r="F33" i="1"/>
  <c r="E47" i="1"/>
  <c r="D16" i="1"/>
  <c r="D36" i="1"/>
  <c r="E19" i="1"/>
  <c r="E43" i="1"/>
  <c r="D18" i="1"/>
  <c r="D9" i="1"/>
  <c r="F12" i="1"/>
  <c r="F14" i="1"/>
  <c r="F30" i="1"/>
  <c r="F34" i="1"/>
  <c r="F35" i="1"/>
  <c r="F39" i="1"/>
  <c r="F42" i="1"/>
  <c r="F45" i="1"/>
  <c r="E9" i="1"/>
  <c r="D13" i="1"/>
  <c r="D17" i="1"/>
  <c r="D22" i="1"/>
  <c r="D24" i="1"/>
  <c r="D32" i="1"/>
  <c r="D39" i="1"/>
  <c r="D45" i="1"/>
  <c r="E13" i="1"/>
  <c r="E17" i="1"/>
  <c r="E22" i="1"/>
  <c r="E29" i="1"/>
  <c r="E35" i="1"/>
  <c r="E36" i="1"/>
  <c r="E38" i="1"/>
  <c r="C48" i="1"/>
  <c r="C49" i="1" s="1"/>
  <c r="K54" i="1"/>
  <c r="C45" i="1"/>
  <c r="K60" i="1" l="1"/>
  <c r="K59" i="1"/>
  <c r="K50" i="1"/>
</calcChain>
</file>

<file path=xl/sharedStrings.xml><?xml version="1.0" encoding="utf-8"?>
<sst xmlns="http://schemas.openxmlformats.org/spreadsheetml/2006/main" count="955" uniqueCount="431">
  <si>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</si>
  <si>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</si>
  <si>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</si>
  <si>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</si>
  <si>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</si>
  <si>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</si>
  <si>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</si>
  <si>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</si>
  <si>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Capital IQ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</si>
  <si>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</si>
  <si>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</si>
  <si>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</si>
  <si>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</si>
  <si>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</si>
  <si>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</si>
  <si>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</si>
  <si>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</si>
  <si>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</si>
  <si>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</si>
  <si>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</si>
  <si>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</si>
  <si>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</si>
  <si>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</si>
  <si>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</si>
  <si>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</si>
  <si>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</si>
  <si>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 Since 1985</t>
  </si>
  <si>
    <t xml:space="preserve">Value of Deals </t>
  </si>
  <si>
    <t>Total 2021</t>
  </si>
  <si>
    <t>2024 (Mar 31)</t>
  </si>
  <si>
    <t>Total 2022</t>
  </si>
  <si>
    <t>2024 e</t>
  </si>
  <si>
    <t>Total 2023</t>
  </si>
  <si>
    <t>Percentage Change</t>
  </si>
  <si>
    <t>2023 to 2022</t>
  </si>
  <si>
    <t>2022 to 2021</t>
  </si>
  <si>
    <t>Total Jan - Mar 2023</t>
  </si>
  <si>
    <t>Total Jan - Mar 2024</t>
  </si>
  <si>
    <t>Jan - Mar 2023 to Jan - Mar 2024</t>
  </si>
  <si>
    <t>Month</t>
  </si>
  <si>
    <t>Number</t>
  </si>
  <si>
    <t>Jan-85</t>
  </si>
  <si>
    <t>Feb-85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</si>
  <si>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</si>
  <si>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</si>
  <si>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</si>
  <si>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</si>
  <si>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</si>
  <si>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</si>
  <si>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</si>
  <si>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</si>
  <si>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</si>
  <si>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</si>
  <si>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</si>
  <si>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</si>
  <si>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</si>
  <si>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</si>
  <si>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</si>
  <si>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</si>
  <si>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</si>
  <si>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</si>
  <si>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</si>
  <si>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</si>
  <si>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</si>
  <si>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</si>
  <si>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</si>
  <si>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</si>
  <si>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</si>
  <si>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</si>
  <si>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</si>
  <si>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</si>
  <si>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</si>
  <si>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</si>
  <si>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</si>
  <si>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</si>
  <si>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</si>
  <si>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</si>
  <si>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</si>
  <si>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</si>
  <si>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</si>
  <si>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</si>
  <si>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</si>
  <si>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</si>
  <si>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</si>
  <si>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</si>
  <si>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</si>
  <si>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</si>
  <si>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</si>
  <si>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</si>
  <si>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</si>
  <si>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</si>
  <si>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</si>
  <si>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</si>
  <si>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</si>
  <si>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</si>
  <si>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</si>
  <si>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</si>
  <si>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</si>
  <si>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</si>
  <si>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</si>
  <si>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</si>
  <si>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Jan-90</t>
  </si>
  <si>
    <t>Feb-90</t>
  </si>
  <si>
    <t>Mar-90</t>
  </si>
  <si>
    <t>Apr-90</t>
  </si>
  <si>
    <t>May-90</t>
  </si>
  <si>
    <t>Jun-90</t>
  </si>
  <si>
    <t>Jul-90</t>
  </si>
  <si>
    <t>Aug-90</t>
  </si>
  <si>
    <t>Sep-90</t>
  </si>
  <si>
    <t>Oct-90</t>
  </si>
  <si>
    <t>Nov-90</t>
  </si>
  <si>
    <t>Dec-90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</si>
  <si>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</si>
  <si>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</si>
  <si>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</si>
  <si>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</si>
  <si>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</si>
  <si>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</si>
  <si>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</si>
  <si>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</si>
  <si>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</si>
  <si>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</si>
  <si>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</si>
  <si>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</si>
  <si>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</si>
  <si>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</si>
  <si>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</si>
  <si>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</si>
  <si>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</si>
  <si>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</si>
  <si>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</si>
  <si>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</si>
  <si>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</si>
  <si>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Oct-92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</si>
  <si>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</si>
  <si>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</si>
  <si>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</si>
  <si>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</si>
  <si>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</si>
  <si>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</si>
  <si>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</si>
  <si>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</si>
  <si>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</si>
  <si>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</si>
  <si>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</si>
  <si>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</si>
  <si>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</si>
  <si>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</si>
  <si>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</si>
  <si>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</si>
  <si>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</si>
  <si>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</si>
  <si>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</si>
  <si>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</si>
  <si>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</si>
  <si>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</si>
  <si>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</si>
  <si>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</si>
  <si>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</si>
  <si>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</si>
  <si>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</si>
  <si>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</si>
  <si>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</si>
  <si>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</si>
  <si>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</si>
  <si>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</si>
  <si>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</si>
  <si>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</si>
  <si>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</si>
  <si>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</si>
  <si>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</si>
  <si>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</si>
  <si>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</si>
  <si>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</si>
  <si>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</si>
  <si>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</si>
  <si>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</si>
  <si>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</si>
  <si>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</si>
  <si>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</si>
  <si>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</si>
  <si>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</si>
  <si>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</si>
  <si>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</si>
  <si>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</si>
  <si>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</si>
  <si>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</si>
  <si>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</si>
  <si>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</si>
  <si>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</si>
  <si>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</si>
  <si>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</si>
  <si>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</si>
  <si>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</si>
  <si>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</si>
  <si>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</si>
  <si>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</si>
  <si>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</si>
  <si>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</si>
  <si>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</si>
  <si>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</si>
  <si>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</si>
  <si>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</si>
  <si>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</si>
  <si>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</si>
  <si>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</si>
  <si>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</si>
  <si>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</si>
  <si>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</si>
  <si>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</si>
  <si>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</si>
  <si>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</si>
  <si>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</si>
  <si>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</si>
  <si>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</si>
  <si>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</si>
  <si>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</si>
  <si>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</si>
  <si>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</si>
  <si>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</si>
  <si>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</si>
  <si>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</si>
  <si>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</si>
  <si>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</si>
  <si>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</si>
  <si>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</si>
  <si>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</si>
  <si>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</si>
  <si>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</si>
  <si>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</si>
  <si>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</si>
  <si>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</si>
  <si>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</si>
  <si>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</si>
  <si>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</si>
  <si>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</si>
  <si>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</si>
  <si>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</si>
  <si>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</si>
  <si>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</si>
  <si>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</si>
  <si>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</si>
  <si>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</si>
  <si>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</si>
  <si>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</si>
  <si>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</si>
  <si>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</si>
  <si>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</si>
  <si>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</si>
  <si>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</si>
  <si>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</si>
  <si>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</si>
  <si>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</si>
  <si>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</si>
  <si>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</si>
  <si>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</si>
  <si>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</si>
  <si>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</si>
  <si>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</si>
  <si>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</si>
  <si>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</si>
  <si>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</si>
  <si>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</si>
  <si>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</si>
  <si>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</si>
  <si>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</si>
  <si>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</si>
  <si>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</si>
  <si>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</si>
  <si>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</si>
  <si>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</si>
  <si>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</si>
  <si>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</si>
  <si>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</si>
  <si>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</si>
  <si>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</si>
  <si>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</si>
  <si>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</si>
  <si>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</si>
  <si>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</si>
  <si>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</si>
  <si>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</si>
  <si>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</si>
  <si>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</si>
  <si>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</si>
  <si>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</si>
  <si>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</si>
  <si>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</si>
  <si>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</si>
  <si>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</si>
  <si>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</si>
  <si>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</si>
  <si>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</si>
  <si>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</si>
  <si>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</si>
  <si>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</si>
  <si>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</si>
  <si>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</si>
  <si>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</si>
  <si>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</si>
  <si>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</si>
  <si>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</si>
  <si>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</si>
  <si>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</si>
  <si>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</si>
  <si>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</si>
  <si>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</si>
  <si>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</si>
  <si>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</si>
  <si>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</si>
  <si>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</si>
  <si>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</si>
  <si>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</si>
  <si>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</si>
  <si>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</si>
  <si>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</si>
  <si>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</si>
  <si>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</si>
  <si>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</si>
  <si>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</si>
  <si>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</si>
  <si>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</si>
  <si>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</si>
  <si>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</si>
  <si>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</si>
  <si>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</si>
  <si>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</si>
  <si>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</si>
  <si>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</si>
  <si>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</si>
  <si>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</si>
  <si>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</si>
  <si>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</si>
  <si>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</si>
  <si>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</si>
  <si>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</si>
  <si>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</si>
  <si>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</si>
  <si>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</si>
  <si>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</si>
  <si>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</si>
  <si>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</si>
  <si>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</si>
  <si>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</si>
  <si>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</si>
  <si>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</si>
  <si>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</si>
  <si>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</si>
  <si>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</si>
  <si>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</si>
  <si>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</si>
  <si>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</si>
  <si>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</si>
  <si>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</si>
  <si>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</si>
  <si>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</si>
  <si>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</si>
  <si>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</si>
  <si>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</si>
  <si>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</si>
  <si>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</si>
  <si>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</si>
  <si>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</si>
  <si>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</si>
  <si>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</si>
  <si>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</si>
  <si>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</si>
  <si>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</si>
  <si>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</si>
  <si>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</si>
  <si>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</si>
  <si>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</si>
  <si>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</si>
  <si>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</si>
  <si>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</si>
  <si>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</si>
  <si>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</si>
  <si>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</si>
  <si>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</si>
  <si>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</si>
  <si>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</si>
  <si>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</si>
  <si>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</si>
  <si>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</si>
  <si>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</si>
  <si>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</si>
  <si>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</si>
  <si>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</si>
  <si>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</si>
  <si>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</si>
  <si>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</si>
  <si>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</si>
  <si>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</si>
  <si>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</si>
  <si>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</si>
  <si>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</si>
  <si>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</si>
  <si>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</si>
  <si>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</si>
  <si>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</si>
  <si>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</si>
  <si>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</si>
  <si>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</si>
  <si>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</si>
  <si>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</si>
  <si>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</si>
  <si>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</si>
  <si>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</si>
  <si>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</si>
  <si>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</si>
  <si>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</si>
  <si>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</si>
  <si>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</si>
  <si>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</si>
  <si>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</si>
  <si>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</si>
  <si>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</si>
  <si>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</si>
  <si>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</si>
  <si>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</si>
  <si>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</si>
  <si>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</si>
  <si>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</si>
  <si>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</si>
  <si>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</si>
  <si>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</si>
  <si>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</si>
  <si>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</si>
  <si>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FINANCIAL SERVICES INDUSTRY</t>
  </si>
  <si>
    <t>M&amp;A Activity Summary  |  Published Date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</si>
</sst>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"/>
    <numFmt numFmtId="166" formatCode="mmm\-d"/>
    <numFmt numFmtId="167" formatCode="mmm\-dd"/>
    <numFmt numFmtId="168" formatCode="mmmm\-dd"/>
    <numFmt numFmtId="169" formatCode="mmmm\-d"/>
    <numFmt numFmtId="170" formatCode="mmm&quot;-&quot;yy"/>
  </numFmts>
  <fonts count="10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  <font>
      <sz val="9"/>
      <name val="&quot;Google Sans Mono&quot;"/>
    </font>
    <font>
      <b/>
      <sz val="26"/>
      <color theme="0"/>
      <name val="Museo Sans 900"/>
      <family val="3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3" tint="0.89999084444715716"/>
        <bgColor rgb="FFFFFFFF"/>
      </patternFill>
    </fill>
    <fill>
      <patternFill patternType="solid">
        <fgColor rgb="FFDF624C"/>
        <bgColor rgb="FFFFFF00"/>
      </patternFill>
    </fill>
    <fill>
      <patternFill patternType="solid">
        <fgColor theme="3" tint="0.89996032593768116"/>
        <bgColor rgb="FFFFFFFF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quotePrefix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4" fontId="2" fillId="6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3" fontId="3" fillId="6" borderId="7" xfId="0" applyNumberFormat="1" applyFont="1" applyFill="1" applyBorder="1" applyAlignment="1">
      <alignment horizontal="center" vertical="center"/>
    </xf>
    <xf numFmtId="4" fontId="3" fillId="6" borderId="7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3" fontId="6" fillId="4" borderId="20" xfId="0" applyNumberFormat="1" applyFont="1" applyFill="1" applyBorder="1" applyAlignment="1">
      <alignment horizontal="center" vertical="center"/>
    </xf>
    <xf numFmtId="4" fontId="6" fillId="4" borderId="2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2" fontId="7" fillId="7" borderId="7" xfId="0" applyNumberFormat="1" applyFont="1" applyFill="1" applyBorder="1" applyAlignment="1">
      <alignment horizontal="center" vertical="center"/>
    </xf>
    <xf numFmtId="2" fontId="7" fillId="8" borderId="7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3" fontId="5" fillId="9" borderId="7" xfId="0" applyNumberFormat="1" applyFont="1" applyFill="1" applyBorder="1" applyAlignment="1">
      <alignment horizontal="center" vertical="center"/>
    </xf>
    <xf numFmtId="165" fontId="5" fillId="9" borderId="7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3" fontId="1" fillId="7" borderId="7" xfId="0" applyNumberFormat="1" applyFont="1" applyFill="1" applyBorder="1" applyAlignment="1">
      <alignment horizontal="center" vertical="center"/>
    </xf>
    <xf numFmtId="165" fontId="1" fillId="7" borderId="7" xfId="0" applyNumberFormat="1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5" fontId="1" fillId="8" borderId="7" xfId="0" applyNumberFormat="1" applyFont="1" applyFill="1" applyBorder="1" applyAlignment="1">
      <alignment horizontal="center" vertical="center"/>
    </xf>
    <xf numFmtId="4" fontId="1" fillId="5" borderId="7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3" fontId="1" fillId="8" borderId="24" xfId="0" applyNumberFormat="1" applyFont="1" applyFill="1" applyBorder="1" applyAlignment="1">
      <alignment horizontal="center" vertical="center"/>
    </xf>
    <xf numFmtId="165" fontId="1" fillId="8" borderId="24" xfId="0" applyNumberFormat="1" applyFont="1" applyFill="1" applyBorder="1" applyAlignment="1">
      <alignment horizontal="center" vertical="center"/>
    </xf>
    <xf numFmtId="4" fontId="1" fillId="5" borderId="24" xfId="0" applyNumberFormat="1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3" fontId="5" fillId="9" borderId="24" xfId="0" applyNumberFormat="1" applyFont="1" applyFill="1" applyBorder="1" applyAlignment="1">
      <alignment horizontal="center" vertical="center"/>
    </xf>
    <xf numFmtId="165" fontId="5" fillId="9" borderId="24" xfId="0" applyNumberFormat="1" applyFont="1" applyFill="1" applyBorder="1" applyAlignment="1">
      <alignment horizontal="center" vertical="center"/>
    </xf>
    <xf numFmtId="4" fontId="1" fillId="7" borderId="7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3" fontId="1" fillId="10" borderId="7" xfId="0" applyNumberFormat="1" applyFont="1" applyFill="1" applyBorder="1" applyAlignment="1">
      <alignment horizontal="center" vertical="center"/>
    </xf>
    <xf numFmtId="165" fontId="1" fillId="10" borderId="7" xfId="0" applyNumberFormat="1" applyFont="1" applyFill="1" applyBorder="1" applyAlignment="1">
      <alignment horizontal="center" vertical="center"/>
    </xf>
    <xf numFmtId="4" fontId="1" fillId="10" borderId="7" xfId="0" applyNumberFormat="1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3" fontId="1" fillId="10" borderId="24" xfId="0" applyNumberFormat="1" applyFont="1" applyFill="1" applyBorder="1" applyAlignment="1">
      <alignment horizontal="center" vertical="center"/>
    </xf>
    <xf numFmtId="165" fontId="1" fillId="10" borderId="24" xfId="0" applyNumberFormat="1" applyFont="1" applyFill="1" applyBorder="1" applyAlignment="1">
      <alignment horizontal="center" vertical="center"/>
    </xf>
    <xf numFmtId="4" fontId="1" fillId="10" borderId="24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167" fontId="1" fillId="7" borderId="7" xfId="0" applyNumberFormat="1" applyFont="1" applyFill="1" applyBorder="1" applyAlignment="1">
      <alignment horizontal="center" vertical="center"/>
    </xf>
    <xf numFmtId="168" fontId="1" fillId="7" borderId="7" xfId="0" applyNumberFormat="1" applyFont="1" applyFill="1" applyBorder="1" applyAlignment="1">
      <alignment horizontal="center" vertical="center"/>
    </xf>
    <xf numFmtId="167" fontId="1" fillId="10" borderId="7" xfId="0" applyNumberFormat="1" applyFont="1" applyFill="1" applyBorder="1" applyAlignment="1">
      <alignment horizontal="center" vertical="center"/>
    </xf>
    <xf numFmtId="167" fontId="1" fillId="10" borderId="24" xfId="0" applyNumberFormat="1" applyFont="1" applyFill="1" applyBorder="1" applyAlignment="1">
      <alignment horizontal="center" vertical="center"/>
    </xf>
    <xf numFmtId="49" fontId="1" fillId="7" borderId="7" xfId="0" applyNumberFormat="1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/>
    </xf>
    <xf numFmtId="49" fontId="1" fillId="10" borderId="24" xfId="0" applyNumberFormat="1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center" vertical="center"/>
    </xf>
    <xf numFmtId="3" fontId="4" fillId="10" borderId="7" xfId="0" applyNumberFormat="1" applyFont="1" applyFill="1" applyBorder="1" applyAlignment="1">
      <alignment horizontal="center" vertical="center"/>
    </xf>
    <xf numFmtId="3" fontId="4" fillId="10" borderId="24" xfId="0" applyNumberFormat="1" applyFont="1" applyFill="1" applyBorder="1" applyAlignment="1">
      <alignment horizontal="center" vertical="center"/>
    </xf>
    <xf numFmtId="4" fontId="5" fillId="9" borderId="24" xfId="0" applyNumberFormat="1" applyFont="1" applyFill="1" applyBorder="1" applyAlignment="1">
      <alignment horizontal="center" vertical="center"/>
    </xf>
    <xf numFmtId="166" fontId="1" fillId="7" borderId="7" xfId="0" applyNumberFormat="1" applyFont="1" applyFill="1" applyBorder="1" applyAlignment="1">
      <alignment horizontal="center" vertical="center"/>
    </xf>
    <xf numFmtId="4" fontId="4" fillId="7" borderId="7" xfId="0" applyNumberFormat="1" applyFont="1" applyFill="1" applyBorder="1" applyAlignment="1">
      <alignment horizontal="center" vertical="center"/>
    </xf>
    <xf numFmtId="166" fontId="1" fillId="10" borderId="7" xfId="0" applyNumberFormat="1" applyFont="1" applyFill="1" applyBorder="1" applyAlignment="1">
      <alignment horizontal="center" vertical="center"/>
    </xf>
    <xf numFmtId="4" fontId="4" fillId="10" borderId="7" xfId="0" applyNumberFormat="1" applyFont="1" applyFill="1" applyBorder="1" applyAlignment="1">
      <alignment horizontal="center" vertical="center"/>
    </xf>
    <xf numFmtId="166" fontId="1" fillId="10" borderId="24" xfId="0" applyNumberFormat="1" applyFont="1" applyFill="1" applyBorder="1" applyAlignment="1">
      <alignment horizontal="center" vertical="center"/>
    </xf>
    <xf numFmtId="4" fontId="4" fillId="10" borderId="24" xfId="0" applyNumberFormat="1" applyFont="1" applyFill="1" applyBorder="1" applyAlignment="1">
      <alignment horizontal="center" vertical="center"/>
    </xf>
    <xf numFmtId="169" fontId="1" fillId="7" borderId="7" xfId="0" applyNumberFormat="1" applyFont="1" applyFill="1" applyBorder="1" applyAlignment="1">
      <alignment horizontal="center" vertical="center"/>
    </xf>
    <xf numFmtId="3" fontId="2" fillId="10" borderId="7" xfId="0" applyNumberFormat="1" applyFont="1" applyFill="1" applyBorder="1" applyAlignment="1">
      <alignment horizontal="center" vertical="center"/>
    </xf>
    <xf numFmtId="169" fontId="1" fillId="10" borderId="7" xfId="0" applyNumberFormat="1" applyFont="1" applyFill="1" applyBorder="1" applyAlignment="1">
      <alignment horizontal="center" vertical="center"/>
    </xf>
    <xf numFmtId="166" fontId="3" fillId="10" borderId="7" xfId="0" applyNumberFormat="1" applyFont="1" applyFill="1" applyBorder="1" applyAlignment="1">
      <alignment horizontal="center" vertical="center"/>
    </xf>
    <xf numFmtId="166" fontId="3" fillId="10" borderId="24" xfId="0" applyNumberFormat="1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170" fontId="1" fillId="7" borderId="7" xfId="0" applyNumberFormat="1" applyFont="1" applyFill="1" applyBorder="1" applyAlignment="1">
      <alignment horizontal="center" vertical="center"/>
    </xf>
    <xf numFmtId="165" fontId="2" fillId="7" borderId="7" xfId="0" applyNumberFormat="1" applyFont="1" applyFill="1" applyBorder="1" applyAlignment="1">
      <alignment horizontal="center" vertical="center"/>
    </xf>
    <xf numFmtId="170" fontId="1" fillId="10" borderId="7" xfId="0" applyNumberFormat="1" applyFont="1" applyFill="1" applyBorder="1" applyAlignment="1">
      <alignment horizontal="center" vertical="center"/>
    </xf>
    <xf numFmtId="165" fontId="2" fillId="10" borderId="7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4" fontId="1" fillId="4" borderId="20" xfId="0" applyNumberFormat="1" applyFont="1" applyFill="1" applyBorder="1" applyAlignment="1">
      <alignment horizontal="center" vertical="center"/>
    </xf>
    <xf numFmtId="4" fontId="5" fillId="2" borderId="19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  <a:latin typeface="Roboto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Mergers &amp; Acquisitions - Financial Services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Number</c:v>
          </c:tx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Annually!$B$9:$B$49</c:f>
              <c:numCache>
                <c:formatCode>#,##0</c:formatCode>
                <c:ptCount val="41"/>
                <c:pt idx="0">
                  <c:v>117</c:v>
                </c:pt>
                <c:pt idx="1">
                  <c:v>192</c:v>
                </c:pt>
                <c:pt idx="2">
                  <c:v>213</c:v>
                </c:pt>
                <c:pt idx="3">
                  <c:v>294</c:v>
                </c:pt>
                <c:pt idx="4">
                  <c:v>286</c:v>
                </c:pt>
                <c:pt idx="5">
                  <c:v>295</c:v>
                </c:pt>
                <c:pt idx="6">
                  <c:v>301</c:v>
                </c:pt>
                <c:pt idx="7">
                  <c:v>374</c:v>
                </c:pt>
                <c:pt idx="8">
                  <c:v>422</c:v>
                </c:pt>
                <c:pt idx="9">
                  <c:v>600</c:v>
                </c:pt>
                <c:pt idx="10">
                  <c:v>875</c:v>
                </c:pt>
                <c:pt idx="11">
                  <c:v>1137</c:v>
                </c:pt>
                <c:pt idx="12">
                  <c:v>1812</c:v>
                </c:pt>
                <c:pt idx="13">
                  <c:v>3962</c:v>
                </c:pt>
                <c:pt idx="14">
                  <c:v>4949</c:v>
                </c:pt>
                <c:pt idx="15">
                  <c:v>5403</c:v>
                </c:pt>
                <c:pt idx="16">
                  <c:v>6259</c:v>
                </c:pt>
                <c:pt idx="17">
                  <c:v>5840</c:v>
                </c:pt>
                <c:pt idx="18">
                  <c:v>6552</c:v>
                </c:pt>
                <c:pt idx="19">
                  <c:v>7807</c:v>
                </c:pt>
                <c:pt idx="20">
                  <c:v>11595</c:v>
                </c:pt>
                <c:pt idx="21">
                  <c:v>14766</c:v>
                </c:pt>
                <c:pt idx="22">
                  <c:v>16975</c:v>
                </c:pt>
                <c:pt idx="23">
                  <c:v>13966</c:v>
                </c:pt>
                <c:pt idx="24">
                  <c:v>11981</c:v>
                </c:pt>
                <c:pt idx="25">
                  <c:v>15929</c:v>
                </c:pt>
                <c:pt idx="26">
                  <c:v>17535</c:v>
                </c:pt>
                <c:pt idx="27">
                  <c:v>18045</c:v>
                </c:pt>
                <c:pt idx="28">
                  <c:v>18671</c:v>
                </c:pt>
                <c:pt idx="29">
                  <c:v>21074</c:v>
                </c:pt>
                <c:pt idx="30">
                  <c:v>22350</c:v>
                </c:pt>
                <c:pt idx="31">
                  <c:v>20775</c:v>
                </c:pt>
                <c:pt idx="32">
                  <c:v>20448</c:v>
                </c:pt>
                <c:pt idx="33">
                  <c:v>19025</c:v>
                </c:pt>
                <c:pt idx="34">
                  <c:v>17862</c:v>
                </c:pt>
                <c:pt idx="35">
                  <c:v>15533</c:v>
                </c:pt>
                <c:pt idx="36">
                  <c:v>19030</c:v>
                </c:pt>
                <c:pt idx="37">
                  <c:v>15473</c:v>
                </c:pt>
                <c:pt idx="38">
                  <c:v>11598</c:v>
                </c:pt>
                <c:pt idx="39">
                  <c:v>2460</c:v>
                </c:pt>
                <c:pt idx="40">
                  <c:v>9840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543-4857-B94F-CFC760CEB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47041"/>
        <c:axId val="1346752737"/>
      </c:barChart>
      <c:lineChart>
        <c:grouping val="standard"/>
        <c:varyColors val="0"/>
        <c:ser>
          <c:idx val="1"/>
          <c:order val="1"/>
          <c:tx>
            <c:strRef>
              <c:f>Annually!$C$8</c:f>
              <c:strCache>
                <c:ptCount val="1"/>
                <c:pt idx="0">
                  <c:v>in bil. USD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Annually!$C$9:$C$49</c:f>
              <c:numCache>
                <c:formatCode>#,##0.00</c:formatCode>
                <c:ptCount val="41"/>
                <c:pt idx="0">
                  <c:v>13.725299999999997</c:v>
                </c:pt>
                <c:pt idx="1">
                  <c:v>29.197499999999998</c:v>
                </c:pt>
                <c:pt idx="2">
                  <c:v>14.8956</c:v>
                </c:pt>
                <c:pt idx="3">
                  <c:v>61.564799999999998</c:v>
                </c:pt>
                <c:pt idx="4">
                  <c:v>47.202099999999994</c:v>
                </c:pt>
                <c:pt idx="5">
                  <c:v>40.669300000000007</c:v>
                </c:pt>
                <c:pt idx="6">
                  <c:v>35.7498</c:v>
                </c:pt>
                <c:pt idx="7">
                  <c:v>35.757100000000001</c:v>
                </c:pt>
                <c:pt idx="8">
                  <c:v>72.357899999999987</c:v>
                </c:pt>
                <c:pt idx="9">
                  <c:v>92.285699999999991</c:v>
                </c:pt>
                <c:pt idx="10">
                  <c:v>136.97950000000003</c:v>
                </c:pt>
                <c:pt idx="11">
                  <c:v>170.55360000000002</c:v>
                </c:pt>
                <c:pt idx="12">
                  <c:v>301.9178</c:v>
                </c:pt>
                <c:pt idx="13">
                  <c:v>963.13210000000004</c:v>
                </c:pt>
                <c:pt idx="14">
                  <c:v>1092.5736000000002</c:v>
                </c:pt>
                <c:pt idx="15">
                  <c:v>1532.1669999999997</c:v>
                </c:pt>
                <c:pt idx="16">
                  <c:v>865.47559999999999</c:v>
                </c:pt>
                <c:pt idx="17">
                  <c:v>594.66449999999998</c:v>
                </c:pt>
                <c:pt idx="18">
                  <c:v>750.19670000000008</c:v>
                </c:pt>
                <c:pt idx="19">
                  <c:v>1213.6917000000001</c:v>
                </c:pt>
                <c:pt idx="20">
                  <c:v>1868.8444999999997</c:v>
                </c:pt>
                <c:pt idx="21">
                  <c:v>2796.2896000000001</c:v>
                </c:pt>
                <c:pt idx="22">
                  <c:v>3610.0625</c:v>
                </c:pt>
                <c:pt idx="23">
                  <c:v>2028.6033999999997</c:v>
                </c:pt>
                <c:pt idx="24">
                  <c:v>1223.2044999999998</c:v>
                </c:pt>
                <c:pt idx="25">
                  <c:v>1647.8303000000003</c:v>
                </c:pt>
                <c:pt idx="26">
                  <c:v>2017.9132</c:v>
                </c:pt>
                <c:pt idx="27">
                  <c:v>1980.7331999999999</c:v>
                </c:pt>
                <c:pt idx="28">
                  <c:v>2055.9053999999996</c:v>
                </c:pt>
                <c:pt idx="29">
                  <c:v>3277.4992000000002</c:v>
                </c:pt>
                <c:pt idx="30">
                  <c:v>3949.1224000000002</c:v>
                </c:pt>
                <c:pt idx="31">
                  <c:v>2962.9037000000003</c:v>
                </c:pt>
                <c:pt idx="32">
                  <c:v>2824.9614000000001</c:v>
                </c:pt>
                <c:pt idx="33">
                  <c:v>2808.9885999999997</c:v>
                </c:pt>
                <c:pt idx="34">
                  <c:v>2567.8245999999999</c:v>
                </c:pt>
                <c:pt idx="35">
                  <c:v>2372.4256999999998</c:v>
                </c:pt>
                <c:pt idx="36">
                  <c:v>3712.8170999999998</c:v>
                </c:pt>
                <c:pt idx="37">
                  <c:v>2411.6172000000001</c:v>
                </c:pt>
                <c:pt idx="38">
                  <c:v>1679.4072000000001</c:v>
                </c:pt>
                <c:pt idx="39">
                  <c:v>425.32340000000005</c:v>
                </c:pt>
                <c:pt idx="40">
                  <c:v>1701.2936000000002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3-4857-B94F-CFC760CEB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348227"/>
        <c:axId val="298673297"/>
      </c:lineChart>
      <c:catAx>
        <c:axId val="1064470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200" b="1">
                <a:solidFill>
                  <a:srgbClr val="22222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46752737"/>
        <c:crosses val="autoZero"/>
        <c:auto val="1"/>
        <c:lblAlgn val="ctr"/>
        <c:lblOffset val="100"/>
        <c:noMultiLvlLbl val="1"/>
      </c:catAx>
      <c:valAx>
        <c:axId val="13467527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6447041"/>
        <c:crosses val="autoZero"/>
        <c:crossBetween val="between"/>
      </c:valAx>
      <c:catAx>
        <c:axId val="5023482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8673297"/>
        <c:crosses val="autoZero"/>
        <c:auto val="1"/>
        <c:lblAlgn val="ctr"/>
        <c:lblOffset val="100"/>
        <c:noMultiLvlLbl val="1"/>
      </c:catAx>
      <c:valAx>
        <c:axId val="298673297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Value of Transactions (in bil. USD)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2348227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0">
              <a:solidFill>
                <a:srgbClr val="222222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181246</xdr:rowOff>
    </xdr:from>
    <xdr:ext cx="14001750" cy="6525169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332555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67705-1037-4615-A109-B2104B129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412" cy="61232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0.48036</cdr:x>
      <cdr:y>0.88129</cdr:y>
    </cdr:from>
    <cdr:to>
      <cdr:x>0.51677</cdr:x>
      <cdr:y>0.92257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71DDA4D3-E47B-A0E6-790E-B7718EE225F2}"/>
            </a:ext>
          </a:extLst>
        </cdr:cNvPr>
        <cdr:cNvSpPr txBox="1"/>
      </cdr:nvSpPr>
      <cdr:spPr>
        <a:xfrm xmlns:a="http://schemas.openxmlformats.org/drawingml/2006/main">
          <a:off x="6725920" y="5750560"/>
          <a:ext cx="509755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PH" sz="1200">
              <a:latin typeface="Arial" panose="020B0604020202020204" pitchFamily="34" charset="0"/>
              <a:cs typeface="Arial" panose="020B0604020202020204" pitchFamily="34" charset="0"/>
            </a:rPr>
            <a:t>Year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321880</xdr:colOff>
      <xdr:row>3</xdr:row>
      <xdr:rowOff>16244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E76993-BD5A-4775-8155-FD2675BE7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014" y="0"/>
          <a:ext cx="1197697" cy="6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zoomScale="50" zoomScaleNormal="50" workbookViewId="0">
      <selection activeCell="Q51" sqref="Q51"/>
    </sheetView>
  </sheetViews>
  <sheetFormatPr defaultColWidth="12.6640625" defaultRowHeight="15.75" customHeight="1" x14ac:dyDescent="0.25"/>
  <cols>
    <col min="1" max="1" width="12.6640625" style="1"/>
    <col min="2" max="2" width="13.44140625" style="1" customWidth="1"/>
    <col min="3" max="5" width="12.6640625" style="1"/>
    <col min="6" max="6" width="14.33203125" style="1" customWidth="1"/>
    <col min="7" max="7" width="12.109375" style="1" customWidth="1"/>
    <col min="8" max="8" width="12.6640625" style="1"/>
    <col min="9" max="9" width="28" style="35" customWidth="1"/>
    <col min="10" max="11" width="24.77734375" style="35" customWidth="1"/>
    <col min="12" max="16384" width="12.6640625" style="1"/>
  </cols>
  <sheetData>
    <row r="1" spans="1:26" ht="15.75" customHeight="1" x14ac:dyDescent="0.25">
      <c r="A1" s="118" t="s">
        <v>429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20"/>
    </row>
    <row r="2" spans="1:26" ht="15.75" customHeight="1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20"/>
    </row>
    <row r="3" spans="1:26" ht="15.75" customHeight="1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20"/>
    </row>
    <row r="4" spans="1:26" ht="15.75" customHeight="1" x14ac:dyDescent="0.25">
      <c r="A4" s="121" t="s">
        <v>430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3"/>
    </row>
    <row r="7" spans="1:26" ht="20.399999999999999" customHeight="1" x14ac:dyDescent="0.25">
      <c r="A7" s="126" t="s">
        <v>0</v>
      </c>
      <c r="B7" s="128" t="s">
        <v>1</v>
      </c>
      <c r="C7" s="124" t="s">
        <v>2</v>
      </c>
      <c r="D7" s="125"/>
      <c r="E7" s="125"/>
      <c r="F7" s="125"/>
      <c r="G7" s="130" t="s">
        <v>3</v>
      </c>
      <c r="H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27"/>
      <c r="B8" s="129"/>
      <c r="C8" s="8" t="s">
        <v>4</v>
      </c>
      <c r="D8" s="9" t="s">
        <v>5</v>
      </c>
      <c r="E8" s="9" t="s">
        <v>6</v>
      </c>
      <c r="F8" s="9" t="s">
        <v>7</v>
      </c>
      <c r="G8" s="131"/>
      <c r="H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11">
        <v>1985</v>
      </c>
      <c r="B9" s="16">
        <f>SUM(Monthly!B10:B21)</f>
        <v>117</v>
      </c>
      <c r="C9" s="17">
        <f>SUM(Monthly!C10:C21)</f>
        <v>13.725299999999997</v>
      </c>
      <c r="D9" s="17">
        <f ca="1">SUM(Monthly!D10:D21)</f>
        <v>17.469804669999988</v>
      </c>
      <c r="E9" s="17">
        <f ca="1">SUM(Monthly!E10:E21)</f>
        <v>10.16199138499999</v>
      </c>
      <c r="F9" s="17">
        <f ca="1">SUM(Monthly!F10:F21)</f>
        <v>3081.7625199999889</v>
      </c>
      <c r="G9" s="18" t="s">
        <v>8</v>
      </c>
    </row>
    <row r="10" spans="1:26" ht="13.2" x14ac:dyDescent="0.25">
      <c r="A10" s="12">
        <v>1986</v>
      </c>
      <c r="B10" s="24">
        <f>SUM(Monthly!B23:B34)</f>
        <v>192</v>
      </c>
      <c r="C10" s="25">
        <f>SUM(Monthly!C23:C34)</f>
        <v>29.197499999999998</v>
      </c>
      <c r="D10" s="25">
        <f ca="1">SUM(Monthly!D23:D34)</f>
        <v>29.068576814999986</v>
      </c>
      <c r="E10" s="25">
        <f ca="1">SUM(Monthly!E23:E34)</f>
        <v>20.034051254999998</v>
      </c>
      <c r="F10" s="25">
        <f ca="1">SUM(Monthly!F23:F34)</f>
        <v>4884.4871014999899</v>
      </c>
      <c r="G10" s="26" t="s">
        <v>8</v>
      </c>
    </row>
    <row r="11" spans="1:26" ht="13.2" x14ac:dyDescent="0.25">
      <c r="A11" s="12">
        <v>1987</v>
      </c>
      <c r="B11" s="16">
        <f>SUM(Monthly!B36:B47)</f>
        <v>213</v>
      </c>
      <c r="C11" s="17">
        <f>SUM(Monthly!C36:C47)</f>
        <v>14.8956</v>
      </c>
      <c r="D11" s="17">
        <f ca="1">SUM(Monthly!D36:D47)</f>
        <v>12.680738559999996</v>
      </c>
      <c r="E11" s="17">
        <f ca="1">SUM(Monthly!E36:E47)</f>
        <v>23.773670804999995</v>
      </c>
      <c r="F11" s="17">
        <f ca="1">SUM(Monthly!F36:F47)</f>
        <v>2115.6533969999987</v>
      </c>
      <c r="G11" s="18" t="s">
        <v>8</v>
      </c>
    </row>
    <row r="12" spans="1:26" ht="13.2" x14ac:dyDescent="0.25">
      <c r="A12" s="12">
        <v>1988</v>
      </c>
      <c r="B12" s="27">
        <f>SUM(Monthly!B49:B60)</f>
        <v>294</v>
      </c>
      <c r="C12" s="28">
        <f>SUM(Monthly!C49:C60)</f>
        <v>61.564799999999998</v>
      </c>
      <c r="D12" s="28">
        <f ca="1">SUM(Monthly!D49:D60)</f>
        <v>52.52235033499997</v>
      </c>
      <c r="E12" s="28">
        <f ca="1">SUM(Monthly!E49:E60)</f>
        <v>34.727210774999968</v>
      </c>
      <c r="F12" s="28">
        <f ca="1">SUM(Monthly!F49:F60)</f>
        <v>7839.856743999997</v>
      </c>
      <c r="G12" s="29" t="s">
        <v>8</v>
      </c>
    </row>
    <row r="13" spans="1:26" ht="13.2" x14ac:dyDescent="0.25">
      <c r="A13" s="12">
        <v>1989</v>
      </c>
      <c r="B13" s="16">
        <f>SUM(Monthly!B62:B73)</f>
        <v>286</v>
      </c>
      <c r="C13" s="17">
        <f>SUM(Monthly!C62:C73)</f>
        <v>47.202099999999994</v>
      </c>
      <c r="D13" s="17">
        <f ca="1">SUM(Monthly!D62:D73)</f>
        <v>42.798629894999884</v>
      </c>
      <c r="E13" s="17">
        <f ca="1">SUM(Monthly!E62:E73)</f>
        <v>29.464075845000004</v>
      </c>
      <c r="F13" s="17">
        <f ca="1">SUM(Monthly!F62:F73)</f>
        <v>6662.1902149999878</v>
      </c>
      <c r="G13" s="18" t="s">
        <v>8</v>
      </c>
    </row>
    <row r="14" spans="1:26" ht="13.2" x14ac:dyDescent="0.25">
      <c r="A14" s="12">
        <v>1990</v>
      </c>
      <c r="B14" s="27">
        <f>SUM(Monthly!B75:B86)</f>
        <v>295</v>
      </c>
      <c r="C14" s="28">
        <f>SUM(Monthly!C75:C86)</f>
        <v>40.669300000000007</v>
      </c>
      <c r="D14" s="28">
        <f ca="1">SUM(Monthly!D75:D86)</f>
        <v>32.20195829499999</v>
      </c>
      <c r="E14" s="28">
        <f ca="1">SUM(Monthly!E75:E86)</f>
        <v>23.597095289999977</v>
      </c>
      <c r="F14" s="28">
        <f ca="1">SUM(Monthly!F75:F86)</f>
        <v>5253.4439686849864</v>
      </c>
      <c r="G14" s="29" t="s">
        <v>8</v>
      </c>
    </row>
    <row r="15" spans="1:26" ht="13.2" x14ac:dyDescent="0.25">
      <c r="A15" s="12">
        <v>1991</v>
      </c>
      <c r="B15" s="16">
        <f>SUM(Monthly!B88:B99)</f>
        <v>301</v>
      </c>
      <c r="C15" s="17">
        <f>SUM(Monthly!C88:C99)</f>
        <v>35.7498</v>
      </c>
      <c r="D15" s="17">
        <f ca="1">SUM(Monthly!D88:D99)</f>
        <v>28.371300720000001</v>
      </c>
      <c r="E15" s="17">
        <f ca="1">SUM(Monthly!E88:E99)</f>
        <v>20.279094809999986</v>
      </c>
      <c r="F15" s="17">
        <f ca="1">SUM(Monthly!F88:F99)</f>
        <v>4803.1713099999988</v>
      </c>
      <c r="G15" s="18" t="s">
        <v>8</v>
      </c>
    </row>
    <row r="16" spans="1:26" ht="13.2" x14ac:dyDescent="0.25">
      <c r="A16" s="12">
        <v>1992</v>
      </c>
      <c r="B16" s="27">
        <f>SUM(Monthly!B101:B112)</f>
        <v>374</v>
      </c>
      <c r="C16" s="28">
        <f>SUM(Monthly!C101:C112)</f>
        <v>35.757100000000001</v>
      </c>
      <c r="D16" s="28">
        <f ca="1">SUM(Monthly!D101:D112)</f>
        <v>26.850860729999951</v>
      </c>
      <c r="E16" s="28">
        <f ca="1">SUM(Monthly!E101:E112)</f>
        <v>20.101653819999971</v>
      </c>
      <c r="F16" s="28">
        <f ca="1">SUM(Monthly!F101:F112)</f>
        <v>4523.0897029999878</v>
      </c>
      <c r="G16" s="29" t="s">
        <v>8</v>
      </c>
    </row>
    <row r="17" spans="1:7" ht="13.2" x14ac:dyDescent="0.25">
      <c r="A17" s="12">
        <v>1993</v>
      </c>
      <c r="B17" s="16">
        <f>SUM(Monthly!B114:B125)</f>
        <v>422</v>
      </c>
      <c r="C17" s="17">
        <f>SUM(Monthly!C114:C125)</f>
        <v>72.357899999999987</v>
      </c>
      <c r="D17" s="17">
        <f ca="1">SUM(Monthly!D114:D125)</f>
        <v>60.607346899999968</v>
      </c>
      <c r="E17" s="17">
        <f ca="1">SUM(Monthly!E114:E125)</f>
        <v>49.950663814999956</v>
      </c>
      <c r="F17" s="17">
        <f ca="1">SUM(Monthly!F114:F125)</f>
        <v>7001.0259544799892</v>
      </c>
      <c r="G17" s="18" t="s">
        <v>8</v>
      </c>
    </row>
    <row r="18" spans="1:7" ht="13.2" x14ac:dyDescent="0.25">
      <c r="A18" s="12">
        <v>1994</v>
      </c>
      <c r="B18" s="27">
        <f>SUM(Monthly!B127:B138)</f>
        <v>600</v>
      </c>
      <c r="C18" s="28">
        <f>SUM(Monthly!C127:C138)</f>
        <v>92.285699999999991</v>
      </c>
      <c r="D18" s="28">
        <f ca="1">SUM(Monthly!D127:D138)</f>
        <v>76.598890560000001</v>
      </c>
      <c r="E18" s="28">
        <f ca="1">SUM(Monthly!E127:E138)</f>
        <v>60.247156764999971</v>
      </c>
      <c r="F18" s="28">
        <f ca="1">SUM(Monthly!F127:F138)</f>
        <v>9451.0968484999994</v>
      </c>
      <c r="G18" s="29" t="s">
        <v>8</v>
      </c>
    </row>
    <row r="19" spans="1:7" ht="13.2" x14ac:dyDescent="0.25">
      <c r="A19" s="12">
        <v>1995</v>
      </c>
      <c r="B19" s="16">
        <f>SUM(Monthly!B140:B151)</f>
        <v>875</v>
      </c>
      <c r="C19" s="17">
        <f>SUM(Monthly!C140:C151)</f>
        <v>136.97950000000003</v>
      </c>
      <c r="D19" s="17">
        <f ca="1">SUM(Monthly!D140:D151)</f>
        <v>102.55745443499977</v>
      </c>
      <c r="E19" s="17">
        <f ca="1">SUM(Monthly!E140:E151)</f>
        <v>86.830271834999905</v>
      </c>
      <c r="F19" s="17">
        <f ca="1">SUM(Monthly!F140:F151)</f>
        <v>12757.456073499998</v>
      </c>
      <c r="G19" s="18" t="s">
        <v>8</v>
      </c>
    </row>
    <row r="20" spans="1:7" ht="13.2" x14ac:dyDescent="0.25">
      <c r="A20" s="12">
        <v>1996</v>
      </c>
      <c r="B20" s="27">
        <f>SUM(Monthly!B153:B164)</f>
        <v>1137</v>
      </c>
      <c r="C20" s="28">
        <f>SUM(Monthly!C153:C164)</f>
        <v>170.55360000000002</v>
      </c>
      <c r="D20" s="28">
        <f ca="1">SUM(Monthly!D153:D164)</f>
        <v>134.23383490999973</v>
      </c>
      <c r="E20" s="28">
        <f ca="1">SUM(Monthly!E153:E164)</f>
        <v>109.31725373999977</v>
      </c>
      <c r="F20" s="28">
        <f ca="1">SUM(Monthly!F153:F164)</f>
        <v>18575.992243999957</v>
      </c>
      <c r="G20" s="29" t="s">
        <v>8</v>
      </c>
    </row>
    <row r="21" spans="1:7" ht="13.2" x14ac:dyDescent="0.25">
      <c r="A21" s="12">
        <v>1997</v>
      </c>
      <c r="B21" s="16">
        <f>SUM(Monthly!B166:B177)</f>
        <v>1812</v>
      </c>
      <c r="C21" s="17">
        <f>SUM(Monthly!C166:C177)</f>
        <v>301.9178</v>
      </c>
      <c r="D21" s="17">
        <f ca="1">SUM(Monthly!D166:D177)</f>
        <v>267.28394275499977</v>
      </c>
      <c r="E21" s="17">
        <f ca="1">SUM(Monthly!E166:E177)</f>
        <v>183.76569455499995</v>
      </c>
      <c r="F21" s="17">
        <f ca="1">SUM(Monthly!F166:F177)</f>
        <v>36719.711490499969</v>
      </c>
      <c r="G21" s="18" t="s">
        <v>8</v>
      </c>
    </row>
    <row r="22" spans="1:7" ht="13.2" x14ac:dyDescent="0.25">
      <c r="A22" s="12">
        <v>1998</v>
      </c>
      <c r="B22" s="27">
        <f>SUM(Monthly!B179:B190)</f>
        <v>3962</v>
      </c>
      <c r="C22" s="28">
        <f>SUM(Monthly!C179:C190)</f>
        <v>963.13210000000004</v>
      </c>
      <c r="D22" s="28">
        <f ca="1">SUM(Monthly!D179:D190)</f>
        <v>866.64790923499879</v>
      </c>
      <c r="E22" s="28">
        <f ca="1">SUM(Monthly!E179:E190)</f>
        <v>581.99644079499978</v>
      </c>
      <c r="F22" s="28">
        <f ca="1">SUM(Monthly!F179:F190)</f>
        <v>126708.00086899991</v>
      </c>
      <c r="G22" s="29" t="s">
        <v>8</v>
      </c>
    </row>
    <row r="23" spans="1:7" ht="13.2" x14ac:dyDescent="0.25">
      <c r="A23" s="12">
        <v>1999</v>
      </c>
      <c r="B23" s="16">
        <f>SUM(Monthly!B192:B203)</f>
        <v>4949</v>
      </c>
      <c r="C23" s="17">
        <f>SUM(Monthly!C192:C203)</f>
        <v>1092.5736000000002</v>
      </c>
      <c r="D23" s="17">
        <f ca="1">SUM(Monthly!D192:D203)</f>
        <v>1033.7253150049999</v>
      </c>
      <c r="E23" s="17">
        <f ca="1">SUM(Monthly!E192:E203)</f>
        <v>674.94038974999978</v>
      </c>
      <c r="F23" s="17">
        <f ca="1">SUM(Monthly!F192:F203)</f>
        <v>122916.13728199987</v>
      </c>
      <c r="G23" s="18" t="s">
        <v>8</v>
      </c>
    </row>
    <row r="24" spans="1:7" ht="13.2" x14ac:dyDescent="0.25">
      <c r="A24" s="13" t="s">
        <v>9</v>
      </c>
      <c r="B24" s="27">
        <f>SUM(Monthly!B205:B216)</f>
        <v>5403</v>
      </c>
      <c r="C24" s="28">
        <f>SUM(Monthly!C205:C216)</f>
        <v>1532.1669999999997</v>
      </c>
      <c r="D24" s="28">
        <f ca="1">SUM(Monthly!D205:D216)</f>
        <v>1648.4748903149989</v>
      </c>
      <c r="E24" s="28">
        <f ca="1">SUM(Monthly!E205:E216)</f>
        <v>1005.5715589849999</v>
      </c>
      <c r="F24" s="28">
        <f ca="1">SUM(Monthly!F205:F216)</f>
        <v>164715.77830899981</v>
      </c>
      <c r="G24" s="29" t="s">
        <v>8</v>
      </c>
    </row>
    <row r="25" spans="1:7" ht="13.2" x14ac:dyDescent="0.25">
      <c r="A25" s="13" t="s">
        <v>10</v>
      </c>
      <c r="B25" s="16">
        <f>SUM(Monthly!B218:B229)</f>
        <v>6259</v>
      </c>
      <c r="C25" s="17">
        <f>SUM(Monthly!C218:C229)</f>
        <v>865.47559999999999</v>
      </c>
      <c r="D25" s="17">
        <f ca="1">SUM(Monthly!D218:D229)</f>
        <v>965.15545094999959</v>
      </c>
      <c r="E25" s="17">
        <f ca="1">SUM(Monthly!E218:E229)</f>
        <v>601.0834186899998</v>
      </c>
      <c r="F25" s="17">
        <f ca="1">SUM(Monthly!F218:F229)</f>
        <v>105279.02442099997</v>
      </c>
      <c r="G25" s="18" t="s">
        <v>8</v>
      </c>
    </row>
    <row r="26" spans="1:7" ht="13.2" x14ac:dyDescent="0.25">
      <c r="A26" s="13" t="s">
        <v>11</v>
      </c>
      <c r="B26" s="27">
        <f>SUM(Monthly!B231:B242)</f>
        <v>5840</v>
      </c>
      <c r="C26" s="28">
        <f>SUM(Monthly!C231:C242)</f>
        <v>594.66449999999998</v>
      </c>
      <c r="D26" s="28">
        <f ca="1">SUM(Monthly!D231:D242)</f>
        <v>629.27313254000001</v>
      </c>
      <c r="E26" s="28">
        <f ca="1">SUM(Monthly!E231:E242)</f>
        <v>395.17045288499992</v>
      </c>
      <c r="F26" s="28">
        <f ca="1">SUM(Monthly!F231:F242)</f>
        <v>74486.355397499996</v>
      </c>
      <c r="G26" s="29" t="s">
        <v>8</v>
      </c>
    </row>
    <row r="27" spans="1:7" ht="13.2" x14ac:dyDescent="0.25">
      <c r="A27" s="13" t="s">
        <v>12</v>
      </c>
      <c r="B27" s="16">
        <f>SUM(Monthly!B244:B255)</f>
        <v>6552</v>
      </c>
      <c r="C27" s="17">
        <f>SUM(Monthly!C244:C255)</f>
        <v>750.19670000000008</v>
      </c>
      <c r="D27" s="17">
        <f ca="1">SUM(Monthly!D244:D255)</f>
        <v>657.39976049999973</v>
      </c>
      <c r="E27" s="17">
        <f ca="1">SUM(Monthly!E244:E255)</f>
        <v>470.77831889999965</v>
      </c>
      <c r="F27" s="17">
        <f ca="1">SUM(Monthly!F244:F255)</f>
        <v>79670.447987039966</v>
      </c>
      <c r="G27" s="18" t="s">
        <v>8</v>
      </c>
    </row>
    <row r="28" spans="1:7" ht="13.2" x14ac:dyDescent="0.25">
      <c r="A28" s="13" t="s">
        <v>13</v>
      </c>
      <c r="B28" s="27">
        <f>SUM(Monthly!B257:B268)</f>
        <v>7807</v>
      </c>
      <c r="C28" s="28">
        <f>SUM(Monthly!C257:C268)</f>
        <v>1213.6917000000001</v>
      </c>
      <c r="D28" s="28">
        <f ca="1">SUM(Monthly!D257:D268)</f>
        <v>966.7706704054998</v>
      </c>
      <c r="E28" s="28">
        <f ca="1">SUM(Monthly!E257:E268)</f>
        <v>658.16139429949976</v>
      </c>
      <c r="F28" s="28">
        <f ca="1">SUM(Monthly!F257:F268)</f>
        <v>130501.72655328699</v>
      </c>
      <c r="G28" s="29" t="s">
        <v>8</v>
      </c>
    </row>
    <row r="29" spans="1:7" ht="13.2" x14ac:dyDescent="0.25">
      <c r="A29" s="13" t="s">
        <v>14</v>
      </c>
      <c r="B29" s="16">
        <f>SUM(Monthly!B270:B281)</f>
        <v>11595</v>
      </c>
      <c r="C29" s="17">
        <f>SUM(Monthly!C270:C281)</f>
        <v>1868.8444999999997</v>
      </c>
      <c r="D29" s="17">
        <f ca="1">SUM(Monthly!D270:D281)</f>
        <v>1508.2700364434982</v>
      </c>
      <c r="E29" s="17">
        <f ca="1">SUM(Monthly!E270:E281)</f>
        <v>1028.7068416134987</v>
      </c>
      <c r="F29" s="17">
        <f ca="1">SUM(Monthly!F270:F281)</f>
        <v>206184.12857952598</v>
      </c>
      <c r="G29" s="18" t="s">
        <v>8</v>
      </c>
    </row>
    <row r="30" spans="1:7" ht="13.2" x14ac:dyDescent="0.25">
      <c r="A30" s="13" t="s">
        <v>15</v>
      </c>
      <c r="B30" s="27">
        <f>SUM(Monthly!B283:B294)</f>
        <v>14766</v>
      </c>
      <c r="C30" s="28">
        <f>SUM(Monthly!C283:C294)</f>
        <v>2796.2896000000001</v>
      </c>
      <c r="D30" s="28">
        <f ca="1">SUM(Monthly!D283:D294)</f>
        <v>2223.6210280144969</v>
      </c>
      <c r="E30" s="28">
        <f ca="1">SUM(Monthly!E283:E294)</f>
        <v>1513.7085369489971</v>
      </c>
      <c r="F30" s="28">
        <f ca="1">SUM(Monthly!F283:F294)</f>
        <v>326174.45070181467</v>
      </c>
      <c r="G30" s="29" t="s">
        <v>8</v>
      </c>
    </row>
    <row r="31" spans="1:7" ht="13.2" x14ac:dyDescent="0.25">
      <c r="A31" s="13" t="s">
        <v>16</v>
      </c>
      <c r="B31" s="16">
        <f>SUM(Monthly!B296:B307)</f>
        <v>16975</v>
      </c>
      <c r="C31" s="17">
        <f>SUM(Monthly!C296:C307)</f>
        <v>3610.0625</v>
      </c>
      <c r="D31" s="17">
        <f ca="1">SUM(Monthly!D296:D307)</f>
        <v>2635.6939544084998</v>
      </c>
      <c r="E31" s="17">
        <f ca="1">SUM(Monthly!E296:E307)</f>
        <v>1804.5694598964958</v>
      </c>
      <c r="F31" s="17">
        <f ca="1">SUM(Monthly!F296:F307)</f>
        <v>426920.00329570414</v>
      </c>
      <c r="G31" s="18" t="s">
        <v>8</v>
      </c>
    </row>
    <row r="32" spans="1:7" ht="13.2" x14ac:dyDescent="0.25">
      <c r="A32" s="13" t="s">
        <v>17</v>
      </c>
      <c r="B32" s="27">
        <f>SUM(Monthly!B309:B320)</f>
        <v>13966</v>
      </c>
      <c r="C32" s="28">
        <f>SUM(Monthly!C309:C320)</f>
        <v>2028.6033999999997</v>
      </c>
      <c r="D32" s="28">
        <f ca="1">SUM(Monthly!D309:D320)</f>
        <v>1356.9290906069991</v>
      </c>
      <c r="E32" s="28">
        <f ca="1">SUM(Monthly!E309:E320)</f>
        <v>1078.5225223084997</v>
      </c>
      <c r="F32" s="28">
        <f ca="1">SUM(Monthly!F309:F320)</f>
        <v>212310.06167002898</v>
      </c>
      <c r="G32" s="29" t="s">
        <v>8</v>
      </c>
    </row>
    <row r="33" spans="1:7" ht="13.2" x14ac:dyDescent="0.25">
      <c r="A33" s="13" t="s">
        <v>18</v>
      </c>
      <c r="B33" s="16">
        <f>SUM(Monthly!B322:B333)</f>
        <v>11981</v>
      </c>
      <c r="C33" s="17">
        <f>SUM(Monthly!C322:C333)</f>
        <v>1223.2044999999998</v>
      </c>
      <c r="D33" s="17">
        <f ca="1">SUM(Monthly!D322:D333)</f>
        <v>870.20719552099854</v>
      </c>
      <c r="E33" s="17">
        <f ca="1">SUM(Monthly!E322:E333)</f>
        <v>777.38692528299862</v>
      </c>
      <c r="F33" s="17">
        <f ca="1">SUM(Monthly!F322:F333)</f>
        <v>113393.05692021946</v>
      </c>
      <c r="G33" s="18" t="s">
        <v>8</v>
      </c>
    </row>
    <row r="34" spans="1:7" ht="13.2" x14ac:dyDescent="0.25">
      <c r="A34" s="13" t="s">
        <v>19</v>
      </c>
      <c r="B34" s="27">
        <f>SUM(Monthly!B335:B346)</f>
        <v>15929</v>
      </c>
      <c r="C34" s="28">
        <f>SUM(Monthly!C335:C346)</f>
        <v>1647.8303000000003</v>
      </c>
      <c r="D34" s="28">
        <f ca="1">SUM(Monthly!D335:D346)</f>
        <v>1248.4609233069968</v>
      </c>
      <c r="E34" s="28">
        <f ca="1">SUM(Monthly!E335:E346)</f>
        <v>1068.3443604164991</v>
      </c>
      <c r="F34" s="28">
        <f ca="1">SUM(Monthly!F335:F346)</f>
        <v>143430.89507548828</v>
      </c>
      <c r="G34" s="29" t="s">
        <v>8</v>
      </c>
    </row>
    <row r="35" spans="1:7" ht="13.2" x14ac:dyDescent="0.25">
      <c r="A35" s="13" t="s">
        <v>20</v>
      </c>
      <c r="B35" s="16">
        <f>SUM(Monthly!B348:B359)</f>
        <v>17535</v>
      </c>
      <c r="C35" s="17">
        <f>SUM(Monthly!C348:C359)</f>
        <v>2017.9132</v>
      </c>
      <c r="D35" s="17">
        <f ca="1">SUM(Monthly!D348:D359)</f>
        <v>1447.717642605998</v>
      </c>
      <c r="E35" s="17">
        <f ca="1">SUM(Monthly!E348:E359)</f>
        <v>1255.467090430999</v>
      </c>
      <c r="F35" s="17">
        <f ca="1">SUM(Monthly!F348:F359)</f>
        <v>161167.83548224988</v>
      </c>
      <c r="G35" s="18" t="s">
        <v>8</v>
      </c>
    </row>
    <row r="36" spans="1:7" ht="13.2" x14ac:dyDescent="0.25">
      <c r="A36" s="13" t="s">
        <v>21</v>
      </c>
      <c r="B36" s="27">
        <f>SUM(Monthly!B361:B372)</f>
        <v>18045</v>
      </c>
      <c r="C36" s="28">
        <f>SUM(Monthly!C361:C372)</f>
        <v>1980.7331999999999</v>
      </c>
      <c r="D36" s="28">
        <f ca="1">SUM(Monthly!D361:D372)</f>
        <v>1539.0514370909989</v>
      </c>
      <c r="E36" s="28">
        <f ca="1">SUM(Monthly!E361:E372)</f>
        <v>1247.8921502179987</v>
      </c>
      <c r="F36" s="28">
        <f ca="1">SUM(Monthly!F361:F372)</f>
        <v>158444.81240886627</v>
      </c>
      <c r="G36" s="29" t="s">
        <v>8</v>
      </c>
    </row>
    <row r="37" spans="1:7" ht="13.2" x14ac:dyDescent="0.25">
      <c r="A37" s="13" t="s">
        <v>22</v>
      </c>
      <c r="B37" s="16">
        <f>SUM(Monthly!B374:B385)</f>
        <v>18671</v>
      </c>
      <c r="C37" s="17">
        <f>SUM(Monthly!C374:C385)</f>
        <v>2055.9053999999996</v>
      </c>
      <c r="D37" s="17">
        <f ca="1">SUM(Monthly!D374:D385)</f>
        <v>1545.9862472999948</v>
      </c>
      <c r="E37" s="17">
        <f ca="1">SUM(Monthly!E374:E385)</f>
        <v>1311.5621523209959</v>
      </c>
      <c r="F37" s="17">
        <f ca="1">SUM(Monthly!F374:F385)</f>
        <v>201809.52341718294</v>
      </c>
      <c r="G37" s="18" t="s">
        <v>8</v>
      </c>
    </row>
    <row r="38" spans="1:7" ht="13.2" x14ac:dyDescent="0.25">
      <c r="A38" s="13" t="s">
        <v>23</v>
      </c>
      <c r="B38" s="27">
        <f>SUM(Monthly!B387:B398)</f>
        <v>21074</v>
      </c>
      <c r="C38" s="28">
        <f>SUM(Monthly!C387:C398)</f>
        <v>3277.4992000000002</v>
      </c>
      <c r="D38" s="28">
        <f ca="1">SUM(Monthly!D387:D398)</f>
        <v>2465.4217163039989</v>
      </c>
      <c r="E38" s="28">
        <f ca="1">SUM(Monthly!E387:E398)</f>
        <v>1986.155988328497</v>
      </c>
      <c r="F38" s="28">
        <f ca="1">SUM(Monthly!F387:F398)</f>
        <v>347142.60581126495</v>
      </c>
      <c r="G38" s="29" t="s">
        <v>8</v>
      </c>
    </row>
    <row r="39" spans="1:7" ht="13.2" x14ac:dyDescent="0.25">
      <c r="A39" s="13" t="s">
        <v>24</v>
      </c>
      <c r="B39" s="16">
        <f>SUM(Monthly!B400:B411)</f>
        <v>22350</v>
      </c>
      <c r="C39" s="17">
        <f>SUM(Monthly!C400:C411)</f>
        <v>3949.1224000000002</v>
      </c>
      <c r="D39" s="17">
        <f ca="1">SUM(Monthly!D400:D411)</f>
        <v>3571.0443884484994</v>
      </c>
      <c r="E39" s="17">
        <f ca="1">SUM(Monthly!E400:E411)</f>
        <v>2586.5559034599992</v>
      </c>
      <c r="F39" s="17">
        <f ca="1">SUM(Monthly!F400:F411)</f>
        <v>478576.87388671405</v>
      </c>
      <c r="G39" s="18" t="s">
        <v>8</v>
      </c>
    </row>
    <row r="40" spans="1:7" ht="13.2" x14ac:dyDescent="0.25">
      <c r="A40" s="14" t="s">
        <v>25</v>
      </c>
      <c r="B40" s="27">
        <f>SUM(Monthly!B413:B424)</f>
        <v>20775</v>
      </c>
      <c r="C40" s="28">
        <f>SUM(Monthly!C413:C424)</f>
        <v>2962.9037000000003</v>
      </c>
      <c r="D40" s="28">
        <f ca="1">SUM(Monthly!D413:D424)</f>
        <v>2677.2232840929987</v>
      </c>
      <c r="E40" s="28">
        <f ca="1">SUM(Monthly!E413:E424)</f>
        <v>2199.1810969474964</v>
      </c>
      <c r="F40" s="28">
        <f ca="1">SUM(Monthly!F413:F424)</f>
        <v>322054.13150055811</v>
      </c>
      <c r="G40" s="29" t="s">
        <v>8</v>
      </c>
    </row>
    <row r="41" spans="1:7" ht="13.2" x14ac:dyDescent="0.25">
      <c r="A41" s="12">
        <v>2017</v>
      </c>
      <c r="B41" s="16">
        <f>SUM(Monthly!B426:B437)</f>
        <v>20448</v>
      </c>
      <c r="C41" s="17">
        <f>SUM(Monthly!C426:C437)</f>
        <v>2824.9614000000001</v>
      </c>
      <c r="D41" s="17">
        <f ca="1">SUM(Monthly!D426:D437)</f>
        <v>2498.5948909729987</v>
      </c>
      <c r="E41" s="17">
        <f ca="1">SUM(Monthly!E426:E437)</f>
        <v>2187.6699655109937</v>
      </c>
      <c r="F41" s="17">
        <f ca="1">SUM(Monthly!F426:F437)</f>
        <v>317356.65905526018</v>
      </c>
      <c r="G41" s="18" t="s">
        <v>8</v>
      </c>
    </row>
    <row r="42" spans="1:7" ht="13.2" x14ac:dyDescent="0.25">
      <c r="A42" s="12">
        <v>2018</v>
      </c>
      <c r="B42" s="27">
        <f>SUM(Monthly!B439:B450)</f>
        <v>19025</v>
      </c>
      <c r="C42" s="28">
        <f>SUM(Monthly!C439:C450)</f>
        <v>2808.9885999999997</v>
      </c>
      <c r="D42" s="28">
        <f ca="1">SUM(Monthly!D439:D450)</f>
        <v>2360.8316382754979</v>
      </c>
      <c r="E42" s="28">
        <f ca="1">SUM(Monthly!E439:E450)</f>
        <v>2083.5401922014976</v>
      </c>
      <c r="F42" s="28">
        <f ca="1">SUM(Monthly!F439:F450)</f>
        <v>308246.45038389973</v>
      </c>
      <c r="G42" s="29" t="s">
        <v>8</v>
      </c>
    </row>
    <row r="43" spans="1:7" ht="13.2" x14ac:dyDescent="0.25">
      <c r="A43" s="12">
        <v>2019</v>
      </c>
      <c r="B43" s="16">
        <f>SUM(Monthly!B452:B463)</f>
        <v>17862</v>
      </c>
      <c r="C43" s="17">
        <f>SUM(Monthly!C452:C463)</f>
        <v>2567.8245999999999</v>
      </c>
      <c r="D43" s="17">
        <f ca="1">SUM(Monthly!D452:D463)</f>
        <v>2295.5311097494991</v>
      </c>
      <c r="E43" s="17">
        <f ca="1">SUM(Monthly!E452:E463)</f>
        <v>2003.850308143999</v>
      </c>
      <c r="F43" s="17">
        <f ca="1">SUM(Monthly!F452:F463)</f>
        <v>280423.42576374987</v>
      </c>
      <c r="G43" s="18" t="s">
        <v>8</v>
      </c>
    </row>
    <row r="44" spans="1:7" ht="13.2" x14ac:dyDescent="0.25">
      <c r="A44" s="12">
        <v>2020</v>
      </c>
      <c r="B44" s="30">
        <f>SUM(Monthly!B465:B476)</f>
        <v>15533</v>
      </c>
      <c r="C44" s="31">
        <f>SUM(Monthly!C465:C476)</f>
        <v>2372.4256999999998</v>
      </c>
      <c r="D44" s="31">
        <f ca="1">SUM(Monthly!D465:D476)</f>
        <v>2044.9355514815979</v>
      </c>
      <c r="E44" s="31">
        <f ca="1">SUM(Monthly!E465:E476)</f>
        <v>1830.1625774029958</v>
      </c>
      <c r="F44" s="31">
        <f ca="1">SUM(Monthly!F465:F476)</f>
        <v>251790.57889954947</v>
      </c>
      <c r="G44" s="29" t="s">
        <v>8</v>
      </c>
    </row>
    <row r="45" spans="1:7" ht="13.2" x14ac:dyDescent="0.25">
      <c r="A45" s="12">
        <v>2021</v>
      </c>
      <c r="B45" s="19">
        <f>SUM(Monthly!B478:B489)</f>
        <v>19030</v>
      </c>
      <c r="C45" s="20">
        <f>SUM(Monthly!C478:C489)</f>
        <v>3712.8170999999998</v>
      </c>
      <c r="D45" s="20">
        <f ca="1">SUM(Monthly!D478:D489)</f>
        <v>4065.6508240610956</v>
      </c>
      <c r="E45" s="20">
        <f ca="1">SUM(Monthly!E478:E489)</f>
        <v>3501.9819823829971</v>
      </c>
      <c r="F45" s="20">
        <f ca="1">SUM(Monthly!F478:F489)</f>
        <v>528976.97856724949</v>
      </c>
      <c r="G45" s="18" t="s">
        <v>8</v>
      </c>
    </row>
    <row r="46" spans="1:7" ht="13.2" x14ac:dyDescent="0.25">
      <c r="A46" s="12">
        <v>2022</v>
      </c>
      <c r="B46" s="30">
        <f>SUM(Monthly!B491:B502)</f>
        <v>15473</v>
      </c>
      <c r="C46" s="31">
        <f>SUM(Monthly!C491:C502)</f>
        <v>2411.6172000000001</v>
      </c>
      <c r="D46" s="31">
        <f ca="1">SUM(Monthly!D491:D502)</f>
        <v>2268.5623271144991</v>
      </c>
      <c r="E46" s="31">
        <f ca="1">SUM(Monthly!E491:E502)</f>
        <v>1924.4747436210002</v>
      </c>
      <c r="F46" s="31">
        <f ca="1">SUM(Monthly!F491:F502)</f>
        <v>311302.67950779985</v>
      </c>
      <c r="G46" s="29" t="s">
        <v>8</v>
      </c>
    </row>
    <row r="47" spans="1:7" ht="13.2" x14ac:dyDescent="0.25">
      <c r="A47" s="12">
        <v>2023</v>
      </c>
      <c r="B47" s="21">
        <f>SUM(Monthly!B504:B515)</f>
        <v>11598</v>
      </c>
      <c r="C47" s="22">
        <f>SUM(Monthly!C504:C515)</f>
        <v>1679.4072000000001</v>
      </c>
      <c r="D47" s="22">
        <f ca="1">SUM(Monthly!D504:D515)</f>
        <v>1589.3652368809978</v>
      </c>
      <c r="E47" s="22">
        <f ca="1">SUM(Monthly!E504:E515)</f>
        <v>1384.101616918746</v>
      </c>
      <c r="F47" s="22">
        <f ca="1">SUM(Monthly!F504:F515)</f>
        <v>241113.02997465423</v>
      </c>
      <c r="G47" s="18" t="s">
        <v>8</v>
      </c>
    </row>
    <row r="48" spans="1:7" ht="13.2" x14ac:dyDescent="0.25">
      <c r="A48" s="12" t="s">
        <v>29</v>
      </c>
      <c r="B48" s="32">
        <f>SUM(Monthly!B517:B519)</f>
        <v>2460</v>
      </c>
      <c r="C48" s="33">
        <f>SUM(Monthly!C517:C519)</f>
        <v>425.32340000000005</v>
      </c>
      <c r="D48" s="33">
        <f ca="1">SUM(Monthly!D517:D519)</f>
        <v>391.74593891599989</v>
      </c>
      <c r="E48" s="33">
        <f ca="1">SUM(Monthly!E517:E519)</f>
        <v>335.52709809599997</v>
      </c>
      <c r="F48" s="33">
        <f ca="1">SUM(Monthly!F517:F519)</f>
        <v>63107.353609998099</v>
      </c>
      <c r="G48" s="34" t="s">
        <v>8</v>
      </c>
    </row>
    <row r="49" spans="1:11" ht="13.2" x14ac:dyDescent="0.25">
      <c r="A49" s="15" t="s">
        <v>31</v>
      </c>
      <c r="B49" s="21">
        <f t="shared" ref="B49:F49" si="0">B48/3*12</f>
        <v>9840</v>
      </c>
      <c r="C49" s="22">
        <f t="shared" si="0"/>
        <v>1701.2936000000002</v>
      </c>
      <c r="D49" s="22">
        <f t="shared" ca="1" si="0"/>
        <v>1566.9837556639995</v>
      </c>
      <c r="E49" s="22">
        <f t="shared" ca="1" si="0"/>
        <v>1342.1083923839999</v>
      </c>
      <c r="F49" s="22">
        <f t="shared" ca="1" si="0"/>
        <v>252429.4144399924</v>
      </c>
      <c r="G49" s="23"/>
      <c r="I49" s="36" t="s">
        <v>26</v>
      </c>
      <c r="J49" s="37" t="s">
        <v>1</v>
      </c>
      <c r="K49" s="38" t="s">
        <v>27</v>
      </c>
    </row>
    <row r="50" spans="1:11" ht="13.2" x14ac:dyDescent="0.25">
      <c r="C50" s="6"/>
      <c r="D50" s="6"/>
      <c r="E50" s="6"/>
      <c r="F50" s="6"/>
      <c r="I50" s="39"/>
      <c r="J50" s="40">
        <f>SUM(B9:B48)</f>
        <v>372781</v>
      </c>
      <c r="K50" s="41">
        <f>SUM(C9:C48)</f>
        <v>56287.034299999999</v>
      </c>
    </row>
    <row r="51" spans="1:11" ht="13.2" x14ac:dyDescent="0.25">
      <c r="D51" s="6"/>
      <c r="E51" s="6"/>
      <c r="F51" s="6"/>
    </row>
    <row r="52" spans="1:11" ht="13.2" x14ac:dyDescent="0.25">
      <c r="C52" s="6"/>
      <c r="D52" s="6"/>
      <c r="E52" s="6"/>
      <c r="F52" s="6"/>
      <c r="I52" s="11" t="s">
        <v>28</v>
      </c>
      <c r="J52" s="43">
        <f>SUM(Monthly!B478:B489)</f>
        <v>19030</v>
      </c>
      <c r="K52" s="44">
        <f>SUM(Monthly!C478:C489)</f>
        <v>3712.8170999999998</v>
      </c>
    </row>
    <row r="53" spans="1:11" ht="13.2" x14ac:dyDescent="0.25">
      <c r="C53" s="6"/>
      <c r="D53" s="6"/>
      <c r="E53" s="6"/>
      <c r="F53" s="6"/>
      <c r="I53" s="12" t="s">
        <v>30</v>
      </c>
      <c r="J53" s="45">
        <f>SUM(Monthly!B491:B502)</f>
        <v>15473</v>
      </c>
      <c r="K53" s="46">
        <f>SUM(Monthly!C491:C502)</f>
        <v>2411.6172000000001</v>
      </c>
    </row>
    <row r="54" spans="1:11" ht="13.2" x14ac:dyDescent="0.25">
      <c r="C54" s="6"/>
      <c r="D54" s="6"/>
      <c r="E54" s="6"/>
      <c r="F54" s="6"/>
      <c r="I54" s="42" t="s">
        <v>32</v>
      </c>
      <c r="J54" s="43">
        <f>SUM(Monthly!B504:B515)</f>
        <v>11598</v>
      </c>
      <c r="K54" s="44">
        <f>SUM(Monthly!C504:C515)</f>
        <v>1679.4072000000001</v>
      </c>
    </row>
    <row r="55" spans="1:11" ht="13.2" x14ac:dyDescent="0.25">
      <c r="C55" s="6"/>
      <c r="D55" s="6"/>
      <c r="E55" s="6"/>
      <c r="F55" s="6"/>
    </row>
    <row r="56" spans="1:11" ht="13.2" x14ac:dyDescent="0.25">
      <c r="D56" s="6"/>
      <c r="E56" s="6"/>
      <c r="F56" s="6"/>
    </row>
    <row r="57" spans="1:11" ht="13.2" x14ac:dyDescent="0.25">
      <c r="C57" s="6"/>
      <c r="D57" s="6"/>
      <c r="E57" s="6"/>
      <c r="F57" s="6"/>
    </row>
    <row r="58" spans="1:11" ht="13.2" x14ac:dyDescent="0.25">
      <c r="C58" s="6"/>
      <c r="D58" s="6"/>
      <c r="E58" s="6"/>
      <c r="F58" s="6"/>
      <c r="I58" s="132" t="s">
        <v>33</v>
      </c>
      <c r="J58" s="132"/>
      <c r="K58" s="132"/>
    </row>
    <row r="59" spans="1:11" ht="13.2" x14ac:dyDescent="0.25">
      <c r="C59" s="6"/>
      <c r="D59" s="6"/>
      <c r="E59" s="6"/>
      <c r="F59" s="6"/>
      <c r="I59" s="11" t="s">
        <v>34</v>
      </c>
      <c r="J59" s="47">
        <f t="shared" ref="J59:K59" si="1">((J54-J53)/J53)*100</f>
        <v>-25.043624377948685</v>
      </c>
      <c r="K59" s="47">
        <f t="shared" si="1"/>
        <v>-30.361783785585871</v>
      </c>
    </row>
    <row r="60" spans="1:11" ht="13.2" x14ac:dyDescent="0.25">
      <c r="C60" s="6"/>
      <c r="D60" s="6"/>
      <c r="E60" s="6"/>
      <c r="F60" s="6"/>
      <c r="I60" s="42" t="s">
        <v>35</v>
      </c>
      <c r="J60" s="48">
        <f t="shared" ref="J60:K60" si="2">((J53-J52)/J52)*100</f>
        <v>-18.691539674198633</v>
      </c>
      <c r="K60" s="48">
        <f t="shared" si="2"/>
        <v>-35.046162117708398</v>
      </c>
    </row>
    <row r="61" spans="1:11" ht="13.2" x14ac:dyDescent="0.25">
      <c r="C61" s="6"/>
      <c r="D61" s="6"/>
      <c r="E61" s="6"/>
      <c r="F61" s="6"/>
    </row>
    <row r="62" spans="1:11" ht="13.2" x14ac:dyDescent="0.25">
      <c r="C62" s="6"/>
      <c r="D62" s="6"/>
      <c r="E62" s="6"/>
      <c r="F62" s="6"/>
    </row>
    <row r="63" spans="1:11" ht="13.2" x14ac:dyDescent="0.25">
      <c r="C63" s="6"/>
      <c r="D63" s="6"/>
      <c r="E63" s="6"/>
      <c r="F63" s="6"/>
      <c r="I63" s="11" t="s">
        <v>36</v>
      </c>
      <c r="J63" s="43">
        <f>SUM(Monthly!B504:B506)</f>
        <v>3159</v>
      </c>
      <c r="K63" s="49">
        <f>SUM(Monthly!C504:C506)</f>
        <v>420.90549999999996</v>
      </c>
    </row>
    <row r="64" spans="1:11" ht="13.2" x14ac:dyDescent="0.25">
      <c r="C64" s="6"/>
      <c r="D64" s="6"/>
      <c r="E64" s="6"/>
      <c r="F64" s="6"/>
      <c r="I64" s="42" t="s">
        <v>37</v>
      </c>
      <c r="J64" s="45">
        <f>SUM(Monthly!B517:B519)</f>
        <v>2460</v>
      </c>
      <c r="K64" s="50">
        <f>SUM(Monthly!C517:C519)</f>
        <v>425.32340000000005</v>
      </c>
    </row>
    <row r="65" spans="3:11" ht="13.2" x14ac:dyDescent="0.25">
      <c r="C65" s="6"/>
      <c r="D65" s="6"/>
      <c r="E65" s="6"/>
      <c r="F65" s="6"/>
    </row>
    <row r="66" spans="3:11" ht="13.2" x14ac:dyDescent="0.25">
      <c r="C66" s="6"/>
      <c r="D66" s="6"/>
      <c r="E66" s="6"/>
      <c r="F66" s="6"/>
      <c r="I66" s="115" t="s">
        <v>33</v>
      </c>
      <c r="J66" s="116"/>
      <c r="K66" s="117"/>
    </row>
    <row r="67" spans="3:11" ht="13.2" x14ac:dyDescent="0.25">
      <c r="C67" s="6"/>
      <c r="D67" s="6"/>
      <c r="E67" s="6"/>
      <c r="F67" s="6"/>
      <c r="I67" s="10" t="s">
        <v>38</v>
      </c>
      <c r="J67" s="47">
        <f t="shared" ref="J67:K67" si="3">((J64-J63)/J63)*100</f>
        <v>-22.127255460588792</v>
      </c>
      <c r="K67" s="47">
        <f t="shared" si="3"/>
        <v>1.049618025898946</v>
      </c>
    </row>
    <row r="68" spans="3:11" ht="13.2" x14ac:dyDescent="0.25">
      <c r="C68" s="6"/>
      <c r="D68" s="6"/>
      <c r="E68" s="6"/>
      <c r="F68" s="6"/>
    </row>
    <row r="69" spans="3:11" ht="13.2" x14ac:dyDescent="0.25">
      <c r="C69" s="6"/>
      <c r="D69" s="6"/>
      <c r="E69" s="6"/>
      <c r="F69" s="6"/>
    </row>
    <row r="70" spans="3:11" ht="13.2" x14ac:dyDescent="0.25">
      <c r="C70" s="6"/>
      <c r="D70" s="6"/>
      <c r="E70" s="6"/>
      <c r="F70" s="6"/>
    </row>
    <row r="71" spans="3:11" ht="13.2" x14ac:dyDescent="0.25">
      <c r="C71" s="6"/>
      <c r="D71" s="6"/>
      <c r="E71" s="6"/>
      <c r="F71" s="6"/>
    </row>
    <row r="72" spans="3:11" ht="13.2" x14ac:dyDescent="0.25">
      <c r="C72" s="6"/>
      <c r="D72" s="6"/>
      <c r="E72" s="6"/>
      <c r="F72" s="6"/>
    </row>
    <row r="73" spans="3:11" ht="13.2" x14ac:dyDescent="0.25">
      <c r="C73" s="6"/>
      <c r="D73" s="6"/>
      <c r="E73" s="6"/>
      <c r="F73" s="6"/>
    </row>
    <row r="74" spans="3:11" ht="13.2" x14ac:dyDescent="0.25">
      <c r="C74" s="6"/>
      <c r="D74" s="6"/>
      <c r="E74" s="6"/>
      <c r="F74" s="6"/>
    </row>
    <row r="75" spans="3:11" ht="13.2" x14ac:dyDescent="0.25">
      <c r="C75" s="6"/>
      <c r="D75" s="6"/>
      <c r="E75" s="6"/>
      <c r="F75" s="6"/>
    </row>
    <row r="76" spans="3:11" ht="13.2" x14ac:dyDescent="0.25">
      <c r="C76" s="6"/>
      <c r="D76" s="6"/>
      <c r="E76" s="6"/>
      <c r="F76" s="6"/>
    </row>
    <row r="77" spans="3:11" ht="13.2" x14ac:dyDescent="0.25">
      <c r="C77" s="6"/>
      <c r="D77" s="6"/>
      <c r="E77" s="6"/>
      <c r="F77" s="6"/>
    </row>
    <row r="78" spans="3:11" ht="13.2" x14ac:dyDescent="0.25">
      <c r="C78" s="6"/>
      <c r="D78" s="6"/>
      <c r="E78" s="6"/>
      <c r="F78" s="6"/>
    </row>
    <row r="79" spans="3:11" ht="13.2" x14ac:dyDescent="0.25">
      <c r="C79" s="6"/>
      <c r="D79" s="6"/>
      <c r="E79" s="6"/>
      <c r="F79" s="6"/>
    </row>
    <row r="80" spans="3:11" ht="13.2" x14ac:dyDescent="0.25">
      <c r="C80" s="6"/>
      <c r="D80" s="6"/>
      <c r="E80" s="6"/>
      <c r="F80" s="6"/>
    </row>
    <row r="81" spans="3:6" ht="13.2" x14ac:dyDescent="0.25">
      <c r="C81" s="6"/>
      <c r="D81" s="6"/>
      <c r="E81" s="6"/>
      <c r="F81" s="6"/>
    </row>
    <row r="82" spans="3:6" ht="13.2" x14ac:dyDescent="0.25">
      <c r="C82" s="6"/>
      <c r="D82" s="6"/>
      <c r="E82" s="6"/>
      <c r="F82" s="6"/>
    </row>
    <row r="83" spans="3:6" ht="13.2" x14ac:dyDescent="0.25">
      <c r="C83" s="6"/>
      <c r="D83" s="6"/>
      <c r="E83" s="6"/>
      <c r="F83" s="6"/>
    </row>
    <row r="84" spans="3:6" ht="13.2" x14ac:dyDescent="0.25">
      <c r="C84" s="6"/>
      <c r="D84" s="6"/>
      <c r="E84" s="6"/>
      <c r="F84" s="6"/>
    </row>
    <row r="85" spans="3:6" ht="13.2" x14ac:dyDescent="0.25">
      <c r="C85" s="6"/>
      <c r="D85" s="6"/>
      <c r="E85" s="6"/>
      <c r="F85" s="6"/>
    </row>
    <row r="86" spans="3:6" ht="13.2" x14ac:dyDescent="0.25">
      <c r="C86" s="6"/>
      <c r="D86" s="6"/>
      <c r="E86" s="6"/>
      <c r="F86" s="6"/>
    </row>
    <row r="87" spans="3:6" ht="13.2" x14ac:dyDescent="0.25">
      <c r="C87" s="6"/>
      <c r="D87" s="6"/>
      <c r="E87" s="6"/>
      <c r="F87" s="6"/>
    </row>
    <row r="88" spans="3:6" ht="13.2" x14ac:dyDescent="0.25">
      <c r="C88" s="6"/>
      <c r="D88" s="6"/>
      <c r="E88" s="6"/>
      <c r="F88" s="6"/>
    </row>
    <row r="89" spans="3:6" ht="13.2" x14ac:dyDescent="0.25">
      <c r="C89" s="6"/>
      <c r="D89" s="6"/>
      <c r="E89" s="6"/>
      <c r="F89" s="6"/>
    </row>
    <row r="90" spans="3:6" ht="13.2" x14ac:dyDescent="0.25">
      <c r="C90" s="6"/>
      <c r="D90" s="6"/>
      <c r="E90" s="6"/>
      <c r="F90" s="6"/>
    </row>
    <row r="91" spans="3:6" ht="13.2" x14ac:dyDescent="0.25">
      <c r="C91" s="6"/>
      <c r="D91" s="6"/>
      <c r="E91" s="6"/>
      <c r="F91" s="6"/>
    </row>
    <row r="92" spans="3:6" ht="13.2" x14ac:dyDescent="0.25">
      <c r="C92" s="6"/>
      <c r="D92" s="6"/>
      <c r="E92" s="6"/>
      <c r="F92" s="6"/>
    </row>
    <row r="93" spans="3:6" ht="13.2" x14ac:dyDescent="0.25">
      <c r="C93" s="6"/>
      <c r="D93" s="6"/>
      <c r="E93" s="6"/>
      <c r="F93" s="6"/>
    </row>
    <row r="94" spans="3:6" ht="13.2" x14ac:dyDescent="0.25">
      <c r="C94" s="6"/>
      <c r="D94" s="6"/>
      <c r="E94" s="6"/>
      <c r="F94" s="6"/>
    </row>
    <row r="95" spans="3:6" ht="13.2" x14ac:dyDescent="0.25">
      <c r="C95" s="6"/>
      <c r="D95" s="6"/>
      <c r="E95" s="6"/>
      <c r="F95" s="6"/>
    </row>
    <row r="96" spans="3:6" ht="13.2" x14ac:dyDescent="0.25">
      <c r="C96" s="6"/>
      <c r="D96" s="6"/>
      <c r="E96" s="6"/>
      <c r="F96" s="6"/>
    </row>
    <row r="97" spans="3:6" ht="13.2" x14ac:dyDescent="0.25">
      <c r="C97" s="6"/>
      <c r="D97" s="6"/>
      <c r="E97" s="6"/>
      <c r="F97" s="6"/>
    </row>
    <row r="98" spans="3:6" ht="13.2" x14ac:dyDescent="0.25">
      <c r="C98" s="6"/>
      <c r="D98" s="6"/>
      <c r="E98" s="6"/>
      <c r="F98" s="6"/>
    </row>
    <row r="99" spans="3:6" ht="13.2" x14ac:dyDescent="0.25">
      <c r="C99" s="6"/>
      <c r="D99" s="6"/>
      <c r="E99" s="6"/>
      <c r="F99" s="6"/>
    </row>
    <row r="100" spans="3:6" ht="13.2" x14ac:dyDescent="0.25">
      <c r="C100" s="6"/>
      <c r="D100" s="6"/>
      <c r="E100" s="6"/>
      <c r="F100" s="6"/>
    </row>
    <row r="101" spans="3:6" ht="13.2" x14ac:dyDescent="0.25">
      <c r="C101" s="6"/>
      <c r="D101" s="6"/>
      <c r="E101" s="6"/>
      <c r="F101" s="6"/>
    </row>
    <row r="102" spans="3:6" ht="13.2" x14ac:dyDescent="0.25">
      <c r="C102" s="6"/>
      <c r="D102" s="6"/>
      <c r="E102" s="6"/>
      <c r="F102" s="6"/>
    </row>
    <row r="103" spans="3:6" ht="13.2" x14ac:dyDescent="0.25">
      <c r="C103" s="6"/>
      <c r="D103" s="6"/>
      <c r="E103" s="6"/>
      <c r="F103" s="6"/>
    </row>
    <row r="104" spans="3:6" ht="13.2" x14ac:dyDescent="0.25">
      <c r="C104" s="6"/>
      <c r="D104" s="6"/>
      <c r="E104" s="6"/>
      <c r="F104" s="6"/>
    </row>
    <row r="105" spans="3:6" ht="13.2" x14ac:dyDescent="0.25">
      <c r="C105" s="6"/>
      <c r="D105" s="6"/>
      <c r="E105" s="6"/>
      <c r="F105" s="6"/>
    </row>
    <row r="106" spans="3:6" ht="13.2" x14ac:dyDescent="0.25">
      <c r="C106" s="6"/>
      <c r="D106" s="6"/>
      <c r="E106" s="6"/>
      <c r="F106" s="6"/>
    </row>
    <row r="107" spans="3:6" ht="13.2" x14ac:dyDescent="0.25">
      <c r="C107" s="6"/>
      <c r="D107" s="6"/>
      <c r="E107" s="6"/>
      <c r="F107" s="6"/>
    </row>
    <row r="108" spans="3:6" ht="13.2" x14ac:dyDescent="0.25">
      <c r="C108" s="6"/>
      <c r="D108" s="6"/>
      <c r="E108" s="6"/>
      <c r="F108" s="6"/>
    </row>
    <row r="109" spans="3:6" ht="13.2" x14ac:dyDescent="0.25">
      <c r="C109" s="6"/>
      <c r="D109" s="6"/>
      <c r="E109" s="6"/>
      <c r="F109" s="6"/>
    </row>
    <row r="110" spans="3:6" ht="13.2" x14ac:dyDescent="0.25">
      <c r="C110" s="6"/>
      <c r="D110" s="6"/>
      <c r="E110" s="6"/>
      <c r="F110" s="6"/>
    </row>
    <row r="111" spans="3:6" ht="13.2" x14ac:dyDescent="0.25">
      <c r="C111" s="6"/>
      <c r="D111" s="6"/>
      <c r="E111" s="6"/>
      <c r="F111" s="6"/>
    </row>
    <row r="112" spans="3:6" ht="13.2" x14ac:dyDescent="0.25">
      <c r="C112" s="6"/>
      <c r="D112" s="6"/>
      <c r="E112" s="6"/>
      <c r="F112" s="6"/>
    </row>
    <row r="113" spans="3:6" ht="13.2" x14ac:dyDescent="0.25">
      <c r="C113" s="6"/>
      <c r="D113" s="6"/>
      <c r="E113" s="6"/>
      <c r="F113" s="6"/>
    </row>
    <row r="114" spans="3:6" ht="13.2" x14ac:dyDescent="0.25">
      <c r="C114" s="6"/>
      <c r="D114" s="6"/>
      <c r="E114" s="6"/>
      <c r="F114" s="6"/>
    </row>
    <row r="115" spans="3:6" ht="13.2" x14ac:dyDescent="0.25">
      <c r="C115" s="6"/>
      <c r="D115" s="6"/>
      <c r="E115" s="6"/>
      <c r="F115" s="6"/>
    </row>
    <row r="116" spans="3:6" ht="13.2" x14ac:dyDescent="0.25">
      <c r="C116" s="6"/>
      <c r="D116" s="6"/>
      <c r="E116" s="6"/>
      <c r="F116" s="6"/>
    </row>
    <row r="117" spans="3:6" ht="13.2" x14ac:dyDescent="0.25">
      <c r="C117" s="6"/>
      <c r="D117" s="6"/>
      <c r="E117" s="6"/>
      <c r="F117" s="6"/>
    </row>
    <row r="118" spans="3:6" ht="13.2" x14ac:dyDescent="0.25">
      <c r="C118" s="6"/>
      <c r="D118" s="6"/>
      <c r="E118" s="6"/>
      <c r="F118" s="6"/>
    </row>
    <row r="119" spans="3:6" ht="13.2" x14ac:dyDescent="0.25">
      <c r="C119" s="6"/>
      <c r="D119" s="6"/>
      <c r="E119" s="6"/>
      <c r="F119" s="6"/>
    </row>
    <row r="120" spans="3:6" ht="13.2" x14ac:dyDescent="0.25">
      <c r="C120" s="6"/>
      <c r="D120" s="6"/>
      <c r="E120" s="6"/>
      <c r="F120" s="6"/>
    </row>
    <row r="121" spans="3:6" ht="13.2" x14ac:dyDescent="0.25">
      <c r="C121" s="6"/>
      <c r="D121" s="6"/>
      <c r="E121" s="6"/>
      <c r="F121" s="6"/>
    </row>
    <row r="122" spans="3:6" ht="13.2" x14ac:dyDescent="0.25">
      <c r="C122" s="6"/>
      <c r="D122" s="6"/>
      <c r="E122" s="6"/>
      <c r="F122" s="6"/>
    </row>
    <row r="123" spans="3:6" ht="13.2" x14ac:dyDescent="0.25">
      <c r="C123" s="6"/>
      <c r="D123" s="6"/>
      <c r="E123" s="6"/>
      <c r="F123" s="6"/>
    </row>
    <row r="124" spans="3:6" ht="13.2" x14ac:dyDescent="0.25">
      <c r="C124" s="6"/>
      <c r="D124" s="6"/>
      <c r="E124" s="6"/>
      <c r="F124" s="6"/>
    </row>
    <row r="125" spans="3:6" ht="13.2" x14ac:dyDescent="0.25">
      <c r="C125" s="6"/>
      <c r="D125" s="6"/>
      <c r="E125" s="6"/>
      <c r="F125" s="6"/>
    </row>
    <row r="126" spans="3:6" ht="13.2" x14ac:dyDescent="0.25">
      <c r="C126" s="6"/>
      <c r="D126" s="6"/>
      <c r="E126" s="6"/>
      <c r="F126" s="6"/>
    </row>
    <row r="127" spans="3:6" ht="13.2" x14ac:dyDescent="0.25">
      <c r="C127" s="6"/>
      <c r="D127" s="6"/>
      <c r="E127" s="6"/>
      <c r="F127" s="6"/>
    </row>
    <row r="128" spans="3:6" ht="13.2" x14ac:dyDescent="0.25">
      <c r="C128" s="6"/>
      <c r="D128" s="6"/>
      <c r="E128" s="6"/>
      <c r="F128" s="6"/>
    </row>
    <row r="129" spans="3:6" ht="13.2" x14ac:dyDescent="0.25">
      <c r="C129" s="6"/>
      <c r="D129" s="6"/>
      <c r="E129" s="6"/>
      <c r="F129" s="6"/>
    </row>
    <row r="130" spans="3:6" ht="13.2" x14ac:dyDescent="0.25">
      <c r="C130" s="6"/>
      <c r="D130" s="6"/>
      <c r="E130" s="6"/>
      <c r="F130" s="6"/>
    </row>
    <row r="131" spans="3:6" ht="13.2" x14ac:dyDescent="0.25">
      <c r="C131" s="6"/>
      <c r="D131" s="6"/>
      <c r="E131" s="6"/>
      <c r="F131" s="6"/>
    </row>
    <row r="132" spans="3:6" ht="13.2" x14ac:dyDescent="0.25">
      <c r="C132" s="6"/>
      <c r="D132" s="6"/>
      <c r="E132" s="6"/>
      <c r="F132" s="6"/>
    </row>
    <row r="133" spans="3:6" ht="13.2" x14ac:dyDescent="0.25">
      <c r="C133" s="6"/>
      <c r="D133" s="6"/>
      <c r="E133" s="6"/>
      <c r="F133" s="6"/>
    </row>
    <row r="134" spans="3:6" ht="13.2" x14ac:dyDescent="0.25">
      <c r="C134" s="6"/>
      <c r="D134" s="6"/>
      <c r="E134" s="6"/>
      <c r="F134" s="6"/>
    </row>
    <row r="135" spans="3:6" ht="13.2" x14ac:dyDescent="0.25">
      <c r="C135" s="6"/>
      <c r="D135" s="6"/>
      <c r="E135" s="6"/>
      <c r="F135" s="6"/>
    </row>
    <row r="136" spans="3:6" ht="13.2" x14ac:dyDescent="0.25">
      <c r="C136" s="6"/>
      <c r="D136" s="6"/>
      <c r="E136" s="6"/>
      <c r="F136" s="6"/>
    </row>
    <row r="137" spans="3:6" ht="13.2" x14ac:dyDescent="0.25">
      <c r="C137" s="6"/>
      <c r="D137" s="6"/>
      <c r="E137" s="6"/>
      <c r="F137" s="6"/>
    </row>
    <row r="138" spans="3:6" ht="13.2" x14ac:dyDescent="0.25">
      <c r="C138" s="6"/>
      <c r="D138" s="6"/>
      <c r="E138" s="6"/>
      <c r="F138" s="6"/>
    </row>
    <row r="139" spans="3:6" ht="13.2" x14ac:dyDescent="0.25">
      <c r="C139" s="6"/>
      <c r="D139" s="6"/>
      <c r="E139" s="6"/>
      <c r="F139" s="6"/>
    </row>
    <row r="140" spans="3:6" ht="13.2" x14ac:dyDescent="0.25">
      <c r="C140" s="6"/>
      <c r="D140" s="6"/>
      <c r="E140" s="6"/>
      <c r="F140" s="6"/>
    </row>
    <row r="141" spans="3:6" ht="13.2" x14ac:dyDescent="0.25">
      <c r="C141" s="6"/>
      <c r="D141" s="6"/>
      <c r="E141" s="6"/>
      <c r="F141" s="6"/>
    </row>
    <row r="142" spans="3:6" ht="13.2" x14ac:dyDescent="0.25">
      <c r="C142" s="6"/>
      <c r="D142" s="6"/>
      <c r="E142" s="6"/>
      <c r="F142" s="6"/>
    </row>
    <row r="143" spans="3:6" ht="13.2" x14ac:dyDescent="0.25">
      <c r="C143" s="6"/>
      <c r="D143" s="6"/>
      <c r="E143" s="6"/>
      <c r="F143" s="6"/>
    </row>
    <row r="144" spans="3:6" ht="13.2" x14ac:dyDescent="0.25">
      <c r="C144" s="6"/>
      <c r="D144" s="6"/>
      <c r="E144" s="6"/>
      <c r="F144" s="6"/>
    </row>
    <row r="145" spans="3:6" ht="13.2" x14ac:dyDescent="0.25">
      <c r="C145" s="6"/>
      <c r="D145" s="6"/>
      <c r="E145" s="6"/>
      <c r="F145" s="6"/>
    </row>
    <row r="146" spans="3:6" ht="13.2" x14ac:dyDescent="0.25">
      <c r="C146" s="6"/>
      <c r="D146" s="6"/>
      <c r="E146" s="6"/>
      <c r="F146" s="6"/>
    </row>
    <row r="147" spans="3:6" ht="13.2" x14ac:dyDescent="0.25">
      <c r="C147" s="6"/>
      <c r="D147" s="6"/>
      <c r="E147" s="6"/>
      <c r="F147" s="6"/>
    </row>
    <row r="148" spans="3:6" ht="13.2" x14ac:dyDescent="0.25">
      <c r="C148" s="6"/>
      <c r="D148" s="6"/>
      <c r="E148" s="6"/>
      <c r="F148" s="6"/>
    </row>
    <row r="149" spans="3:6" ht="13.2" x14ac:dyDescent="0.25">
      <c r="C149" s="6"/>
      <c r="D149" s="6"/>
      <c r="E149" s="6"/>
      <c r="F149" s="6"/>
    </row>
    <row r="150" spans="3:6" ht="13.2" x14ac:dyDescent="0.25">
      <c r="C150" s="6"/>
      <c r="D150" s="6"/>
      <c r="E150" s="6"/>
      <c r="F150" s="6"/>
    </row>
    <row r="151" spans="3:6" ht="13.2" x14ac:dyDescent="0.25">
      <c r="C151" s="6"/>
      <c r="D151" s="6"/>
      <c r="E151" s="6"/>
      <c r="F151" s="6"/>
    </row>
    <row r="152" spans="3:6" ht="13.2" x14ac:dyDescent="0.25">
      <c r="C152" s="6"/>
      <c r="D152" s="6"/>
      <c r="E152" s="6"/>
      <c r="F152" s="6"/>
    </row>
    <row r="153" spans="3:6" ht="13.2" x14ac:dyDescent="0.25">
      <c r="C153" s="6"/>
      <c r="D153" s="6"/>
      <c r="E153" s="6"/>
      <c r="F153" s="6"/>
    </row>
    <row r="154" spans="3:6" ht="13.2" x14ac:dyDescent="0.25">
      <c r="C154" s="6"/>
      <c r="D154" s="6"/>
      <c r="E154" s="6"/>
      <c r="F154" s="6"/>
    </row>
    <row r="155" spans="3:6" ht="13.2" x14ac:dyDescent="0.25">
      <c r="C155" s="6"/>
      <c r="D155" s="6"/>
      <c r="E155" s="6"/>
      <c r="F155" s="6"/>
    </row>
    <row r="156" spans="3:6" ht="13.2" x14ac:dyDescent="0.25">
      <c r="C156" s="6"/>
      <c r="D156" s="6"/>
      <c r="E156" s="6"/>
      <c r="F156" s="6"/>
    </row>
    <row r="157" spans="3:6" ht="13.2" x14ac:dyDescent="0.25">
      <c r="C157" s="6"/>
      <c r="D157" s="6"/>
      <c r="E157" s="6"/>
      <c r="F157" s="6"/>
    </row>
    <row r="158" spans="3:6" ht="13.2" x14ac:dyDescent="0.25">
      <c r="C158" s="6"/>
      <c r="D158" s="6"/>
      <c r="E158" s="6"/>
      <c r="F158" s="6"/>
    </row>
    <row r="159" spans="3:6" ht="13.2" x14ac:dyDescent="0.25">
      <c r="C159" s="6"/>
      <c r="D159" s="6"/>
      <c r="E159" s="6"/>
      <c r="F159" s="6"/>
    </row>
    <row r="160" spans="3:6" ht="13.2" x14ac:dyDescent="0.25">
      <c r="C160" s="6"/>
      <c r="D160" s="6"/>
      <c r="E160" s="6"/>
      <c r="F160" s="6"/>
    </row>
    <row r="161" spans="3:6" ht="13.2" x14ac:dyDescent="0.25">
      <c r="C161" s="6"/>
      <c r="D161" s="6"/>
      <c r="E161" s="6"/>
      <c r="F161" s="6"/>
    </row>
    <row r="162" spans="3:6" ht="13.2" x14ac:dyDescent="0.25">
      <c r="C162" s="6"/>
      <c r="D162" s="6"/>
      <c r="E162" s="6"/>
      <c r="F162" s="6"/>
    </row>
    <row r="163" spans="3:6" ht="13.2" x14ac:dyDescent="0.25">
      <c r="C163" s="6"/>
      <c r="D163" s="6"/>
      <c r="E163" s="6"/>
      <c r="F163" s="6"/>
    </row>
    <row r="164" spans="3:6" ht="13.2" x14ac:dyDescent="0.25">
      <c r="C164" s="6"/>
      <c r="D164" s="6"/>
      <c r="E164" s="6"/>
      <c r="F164" s="6"/>
    </row>
    <row r="165" spans="3:6" ht="13.2" x14ac:dyDescent="0.25">
      <c r="C165" s="6"/>
      <c r="D165" s="6"/>
      <c r="E165" s="6"/>
      <c r="F165" s="6"/>
    </row>
    <row r="166" spans="3:6" ht="13.2" x14ac:dyDescent="0.25">
      <c r="C166" s="6"/>
      <c r="D166" s="6"/>
      <c r="E166" s="6"/>
      <c r="F166" s="6"/>
    </row>
    <row r="167" spans="3:6" ht="13.2" x14ac:dyDescent="0.25">
      <c r="C167" s="6"/>
      <c r="D167" s="6"/>
      <c r="E167" s="6"/>
      <c r="F167" s="6"/>
    </row>
    <row r="168" spans="3:6" ht="13.2" x14ac:dyDescent="0.25">
      <c r="C168" s="6"/>
      <c r="D168" s="6"/>
      <c r="E168" s="6"/>
      <c r="F168" s="6"/>
    </row>
    <row r="169" spans="3:6" ht="13.2" x14ac:dyDescent="0.25">
      <c r="C169" s="6"/>
      <c r="D169" s="6"/>
      <c r="E169" s="6"/>
      <c r="F169" s="6"/>
    </row>
    <row r="170" spans="3:6" ht="13.2" x14ac:dyDescent="0.25">
      <c r="C170" s="6"/>
      <c r="D170" s="6"/>
      <c r="E170" s="6"/>
      <c r="F170" s="6"/>
    </row>
    <row r="171" spans="3:6" ht="13.2" x14ac:dyDescent="0.25">
      <c r="C171" s="6"/>
      <c r="D171" s="6"/>
      <c r="E171" s="6"/>
      <c r="F171" s="6"/>
    </row>
    <row r="172" spans="3:6" ht="13.2" x14ac:dyDescent="0.25">
      <c r="C172" s="6"/>
      <c r="D172" s="6"/>
      <c r="E172" s="6"/>
      <c r="F172" s="6"/>
    </row>
    <row r="173" spans="3:6" ht="13.2" x14ac:dyDescent="0.25">
      <c r="C173" s="6"/>
      <c r="D173" s="6"/>
      <c r="E173" s="6"/>
      <c r="F173" s="6"/>
    </row>
    <row r="174" spans="3:6" ht="13.2" x14ac:dyDescent="0.25">
      <c r="C174" s="6"/>
      <c r="D174" s="6"/>
      <c r="E174" s="6"/>
      <c r="F174" s="6"/>
    </row>
    <row r="175" spans="3:6" ht="13.2" x14ac:dyDescent="0.25">
      <c r="C175" s="6"/>
      <c r="D175" s="6"/>
      <c r="E175" s="6"/>
      <c r="F175" s="6"/>
    </row>
    <row r="176" spans="3:6" ht="13.2" x14ac:dyDescent="0.25">
      <c r="C176" s="6"/>
      <c r="D176" s="6"/>
      <c r="E176" s="6"/>
      <c r="F176" s="6"/>
    </row>
    <row r="177" spans="3:6" ht="13.2" x14ac:dyDescent="0.25">
      <c r="C177" s="6"/>
      <c r="D177" s="6"/>
      <c r="E177" s="6"/>
      <c r="F177" s="6"/>
    </row>
    <row r="178" spans="3:6" ht="13.2" x14ac:dyDescent="0.25">
      <c r="C178" s="6"/>
      <c r="D178" s="6"/>
      <c r="E178" s="6"/>
      <c r="F178" s="6"/>
    </row>
    <row r="179" spans="3:6" ht="13.2" x14ac:dyDescent="0.25">
      <c r="C179" s="6"/>
      <c r="D179" s="6"/>
      <c r="E179" s="6"/>
      <c r="F179" s="6"/>
    </row>
    <row r="180" spans="3:6" ht="13.2" x14ac:dyDescent="0.25">
      <c r="C180" s="6"/>
      <c r="D180" s="6"/>
      <c r="E180" s="6"/>
      <c r="F180" s="6"/>
    </row>
    <row r="181" spans="3:6" ht="13.2" x14ac:dyDescent="0.25">
      <c r="C181" s="6"/>
      <c r="D181" s="6"/>
      <c r="E181" s="6"/>
      <c r="F181" s="6"/>
    </row>
    <row r="182" spans="3:6" ht="13.2" x14ac:dyDescent="0.25">
      <c r="C182" s="6"/>
      <c r="D182" s="6"/>
      <c r="E182" s="6"/>
      <c r="F182" s="6"/>
    </row>
    <row r="183" spans="3:6" ht="13.2" x14ac:dyDescent="0.25">
      <c r="C183" s="6"/>
      <c r="D183" s="6"/>
      <c r="E183" s="6"/>
      <c r="F183" s="6"/>
    </row>
    <row r="184" spans="3:6" ht="13.2" x14ac:dyDescent="0.25">
      <c r="C184" s="6"/>
      <c r="D184" s="6"/>
      <c r="E184" s="6"/>
      <c r="F184" s="6"/>
    </row>
    <row r="185" spans="3:6" ht="13.2" x14ac:dyDescent="0.25">
      <c r="C185" s="6"/>
      <c r="D185" s="6"/>
      <c r="E185" s="6"/>
      <c r="F185" s="6"/>
    </row>
    <row r="186" spans="3:6" ht="13.2" x14ac:dyDescent="0.25">
      <c r="C186" s="6"/>
      <c r="D186" s="6"/>
      <c r="E186" s="6"/>
      <c r="F186" s="6"/>
    </row>
    <row r="187" spans="3:6" ht="13.2" x14ac:dyDescent="0.25">
      <c r="C187" s="6"/>
      <c r="D187" s="6"/>
      <c r="E187" s="6"/>
      <c r="F187" s="6"/>
    </row>
    <row r="188" spans="3:6" ht="13.2" x14ac:dyDescent="0.25">
      <c r="C188" s="6"/>
      <c r="D188" s="6"/>
      <c r="E188" s="6"/>
      <c r="F188" s="6"/>
    </row>
    <row r="189" spans="3:6" ht="13.2" x14ac:dyDescent="0.25">
      <c r="C189" s="6"/>
      <c r="D189" s="6"/>
      <c r="E189" s="6"/>
      <c r="F189" s="6"/>
    </row>
    <row r="190" spans="3:6" ht="13.2" x14ac:dyDescent="0.25">
      <c r="C190" s="6"/>
      <c r="D190" s="6"/>
      <c r="E190" s="6"/>
      <c r="F190" s="6"/>
    </row>
    <row r="191" spans="3:6" ht="13.2" x14ac:dyDescent="0.25">
      <c r="C191" s="6"/>
      <c r="D191" s="6"/>
      <c r="E191" s="6"/>
      <c r="F191" s="6"/>
    </row>
    <row r="192" spans="3:6" ht="13.2" x14ac:dyDescent="0.25">
      <c r="C192" s="6"/>
      <c r="D192" s="6"/>
      <c r="E192" s="6"/>
      <c r="F192" s="6"/>
    </row>
    <row r="193" spans="3:6" ht="13.2" x14ac:dyDescent="0.25">
      <c r="C193" s="6"/>
      <c r="D193" s="6"/>
      <c r="E193" s="6"/>
      <c r="F193" s="6"/>
    </row>
    <row r="194" spans="3:6" ht="13.2" x14ac:dyDescent="0.25">
      <c r="C194" s="6"/>
      <c r="D194" s="6"/>
      <c r="E194" s="6"/>
      <c r="F194" s="6"/>
    </row>
    <row r="195" spans="3:6" ht="13.2" x14ac:dyDescent="0.25">
      <c r="C195" s="6"/>
      <c r="D195" s="6"/>
      <c r="E195" s="6"/>
      <c r="F195" s="6"/>
    </row>
    <row r="196" spans="3:6" ht="13.2" x14ac:dyDescent="0.25">
      <c r="C196" s="6"/>
      <c r="D196" s="6"/>
      <c r="E196" s="6"/>
      <c r="F196" s="6"/>
    </row>
    <row r="197" spans="3:6" ht="13.2" x14ac:dyDescent="0.25">
      <c r="C197" s="6"/>
      <c r="D197" s="6"/>
      <c r="E197" s="6"/>
      <c r="F197" s="6"/>
    </row>
    <row r="198" spans="3:6" ht="13.2" x14ac:dyDescent="0.25">
      <c r="C198" s="6"/>
      <c r="D198" s="6"/>
      <c r="E198" s="6"/>
      <c r="F198" s="6"/>
    </row>
    <row r="199" spans="3:6" ht="13.2" x14ac:dyDescent="0.25">
      <c r="C199" s="6"/>
      <c r="D199" s="6"/>
      <c r="E199" s="6"/>
      <c r="F199" s="6"/>
    </row>
    <row r="200" spans="3:6" ht="13.2" x14ac:dyDescent="0.25">
      <c r="C200" s="6"/>
      <c r="D200" s="6"/>
      <c r="E200" s="6"/>
      <c r="F200" s="6"/>
    </row>
    <row r="201" spans="3:6" ht="13.2" x14ac:dyDescent="0.25">
      <c r="C201" s="6"/>
      <c r="D201" s="6"/>
      <c r="E201" s="6"/>
      <c r="F201" s="6"/>
    </row>
    <row r="202" spans="3:6" ht="13.2" x14ac:dyDescent="0.25">
      <c r="C202" s="6"/>
      <c r="D202" s="6"/>
      <c r="E202" s="6"/>
      <c r="F202" s="6"/>
    </row>
    <row r="203" spans="3:6" ht="13.2" x14ac:dyDescent="0.25">
      <c r="C203" s="6"/>
      <c r="D203" s="6"/>
      <c r="E203" s="6"/>
      <c r="F203" s="6"/>
    </row>
    <row r="204" spans="3:6" ht="13.2" x14ac:dyDescent="0.25">
      <c r="C204" s="6"/>
      <c r="D204" s="6"/>
      <c r="E204" s="6"/>
      <c r="F204" s="6"/>
    </row>
    <row r="205" spans="3:6" ht="13.2" x14ac:dyDescent="0.25">
      <c r="C205" s="6"/>
      <c r="D205" s="6"/>
      <c r="E205" s="6"/>
      <c r="F205" s="6"/>
    </row>
    <row r="206" spans="3:6" ht="13.2" x14ac:dyDescent="0.25">
      <c r="C206" s="6"/>
      <c r="D206" s="6"/>
      <c r="E206" s="6"/>
      <c r="F206" s="6"/>
    </row>
    <row r="207" spans="3:6" ht="13.2" x14ac:dyDescent="0.25">
      <c r="C207" s="6"/>
      <c r="D207" s="6"/>
      <c r="E207" s="6"/>
      <c r="F207" s="6"/>
    </row>
    <row r="208" spans="3:6" ht="13.2" x14ac:dyDescent="0.25">
      <c r="C208" s="6"/>
      <c r="D208" s="6"/>
      <c r="E208" s="6"/>
      <c r="F208" s="6"/>
    </row>
    <row r="209" spans="3:6" ht="13.2" x14ac:dyDescent="0.25">
      <c r="C209" s="6"/>
      <c r="D209" s="6"/>
      <c r="E209" s="6"/>
      <c r="F209" s="6"/>
    </row>
    <row r="210" spans="3:6" ht="13.2" x14ac:dyDescent="0.25">
      <c r="C210" s="6"/>
      <c r="D210" s="6"/>
      <c r="E210" s="6"/>
      <c r="F210" s="6"/>
    </row>
    <row r="211" spans="3:6" ht="13.2" x14ac:dyDescent="0.25">
      <c r="C211" s="6"/>
      <c r="D211" s="6"/>
      <c r="E211" s="6"/>
      <c r="F211" s="6"/>
    </row>
    <row r="212" spans="3:6" ht="13.2" x14ac:dyDescent="0.25">
      <c r="C212" s="6"/>
      <c r="D212" s="6"/>
      <c r="E212" s="6"/>
      <c r="F212" s="6"/>
    </row>
    <row r="213" spans="3:6" ht="13.2" x14ac:dyDescent="0.25">
      <c r="C213" s="6"/>
      <c r="D213" s="6"/>
      <c r="E213" s="6"/>
      <c r="F213" s="6"/>
    </row>
    <row r="214" spans="3:6" ht="13.2" x14ac:dyDescent="0.25">
      <c r="C214" s="6"/>
      <c r="D214" s="6"/>
      <c r="E214" s="6"/>
      <c r="F214" s="6"/>
    </row>
    <row r="215" spans="3:6" ht="13.2" x14ac:dyDescent="0.25">
      <c r="C215" s="6"/>
      <c r="D215" s="6"/>
      <c r="E215" s="6"/>
      <c r="F215" s="6"/>
    </row>
    <row r="216" spans="3:6" ht="13.2" x14ac:dyDescent="0.25">
      <c r="C216" s="6"/>
      <c r="D216" s="6"/>
      <c r="E216" s="6"/>
      <c r="F216" s="6"/>
    </row>
    <row r="217" spans="3:6" ht="13.2" x14ac:dyDescent="0.25">
      <c r="C217" s="6"/>
      <c r="D217" s="6"/>
      <c r="E217" s="6"/>
      <c r="F217" s="6"/>
    </row>
    <row r="218" spans="3:6" ht="13.2" x14ac:dyDescent="0.25">
      <c r="C218" s="6"/>
      <c r="D218" s="6"/>
      <c r="E218" s="6"/>
      <c r="F218" s="6"/>
    </row>
    <row r="219" spans="3:6" ht="13.2" x14ac:dyDescent="0.25">
      <c r="C219" s="6"/>
      <c r="D219" s="6"/>
      <c r="E219" s="6"/>
      <c r="F219" s="6"/>
    </row>
    <row r="220" spans="3:6" ht="13.2" x14ac:dyDescent="0.25">
      <c r="C220" s="6"/>
      <c r="D220" s="6"/>
      <c r="E220" s="6"/>
      <c r="F220" s="6"/>
    </row>
    <row r="221" spans="3:6" ht="13.2" x14ac:dyDescent="0.25">
      <c r="C221" s="6"/>
      <c r="D221" s="6"/>
      <c r="E221" s="6"/>
      <c r="F221" s="6"/>
    </row>
    <row r="222" spans="3:6" ht="13.2" x14ac:dyDescent="0.25">
      <c r="C222" s="6"/>
      <c r="D222" s="6"/>
      <c r="E222" s="6"/>
      <c r="F222" s="6"/>
    </row>
    <row r="223" spans="3:6" ht="13.2" x14ac:dyDescent="0.25">
      <c r="C223" s="6"/>
      <c r="D223" s="6"/>
      <c r="E223" s="6"/>
      <c r="F223" s="6"/>
    </row>
    <row r="224" spans="3:6" ht="13.2" x14ac:dyDescent="0.25">
      <c r="C224" s="6"/>
      <c r="D224" s="6"/>
      <c r="E224" s="6"/>
      <c r="F224" s="6"/>
    </row>
    <row r="225" spans="3:6" ht="13.2" x14ac:dyDescent="0.25">
      <c r="C225" s="6"/>
      <c r="D225" s="6"/>
      <c r="E225" s="6"/>
      <c r="F225" s="6"/>
    </row>
    <row r="226" spans="3:6" ht="13.2" x14ac:dyDescent="0.25">
      <c r="C226" s="6"/>
      <c r="D226" s="6"/>
      <c r="E226" s="6"/>
      <c r="F226" s="6"/>
    </row>
    <row r="227" spans="3:6" ht="13.2" x14ac:dyDescent="0.25">
      <c r="C227" s="6"/>
      <c r="D227" s="6"/>
      <c r="E227" s="6"/>
      <c r="F227" s="6"/>
    </row>
    <row r="228" spans="3:6" ht="13.2" x14ac:dyDescent="0.25">
      <c r="C228" s="6"/>
      <c r="D228" s="6"/>
      <c r="E228" s="6"/>
      <c r="F228" s="6"/>
    </row>
    <row r="229" spans="3:6" ht="13.2" x14ac:dyDescent="0.25">
      <c r="C229" s="6"/>
      <c r="D229" s="6"/>
      <c r="E229" s="6"/>
      <c r="F229" s="6"/>
    </row>
    <row r="230" spans="3:6" ht="13.2" x14ac:dyDescent="0.25">
      <c r="C230" s="6"/>
      <c r="D230" s="6"/>
      <c r="E230" s="6"/>
      <c r="F230" s="6"/>
    </row>
    <row r="231" spans="3:6" ht="13.2" x14ac:dyDescent="0.25">
      <c r="C231" s="6"/>
      <c r="D231" s="6"/>
      <c r="E231" s="6"/>
      <c r="F231" s="6"/>
    </row>
    <row r="232" spans="3:6" ht="13.2" x14ac:dyDescent="0.25">
      <c r="C232" s="6"/>
      <c r="D232" s="6"/>
      <c r="E232" s="6"/>
      <c r="F232" s="6"/>
    </row>
    <row r="233" spans="3:6" ht="13.2" x14ac:dyDescent="0.25">
      <c r="C233" s="6"/>
      <c r="D233" s="6"/>
      <c r="E233" s="6"/>
      <c r="F233" s="6"/>
    </row>
    <row r="234" spans="3:6" ht="13.2" x14ac:dyDescent="0.25">
      <c r="C234" s="6"/>
      <c r="D234" s="6"/>
      <c r="E234" s="6"/>
      <c r="F234" s="6"/>
    </row>
    <row r="235" spans="3:6" ht="13.2" x14ac:dyDescent="0.25">
      <c r="C235" s="6"/>
      <c r="D235" s="6"/>
      <c r="E235" s="6"/>
      <c r="F235" s="6"/>
    </row>
    <row r="236" spans="3:6" ht="13.2" x14ac:dyDescent="0.25">
      <c r="C236" s="6"/>
      <c r="D236" s="6"/>
      <c r="E236" s="6"/>
      <c r="F236" s="6"/>
    </row>
    <row r="237" spans="3:6" ht="13.2" x14ac:dyDescent="0.25">
      <c r="C237" s="6"/>
      <c r="D237" s="6"/>
      <c r="E237" s="6"/>
      <c r="F237" s="6"/>
    </row>
    <row r="238" spans="3:6" ht="13.2" x14ac:dyDescent="0.25">
      <c r="C238" s="6"/>
      <c r="D238" s="6"/>
      <c r="E238" s="6"/>
      <c r="F238" s="6"/>
    </row>
    <row r="239" spans="3:6" ht="13.2" x14ac:dyDescent="0.25">
      <c r="C239" s="6"/>
      <c r="D239" s="6"/>
      <c r="E239" s="6"/>
      <c r="F239" s="6"/>
    </row>
    <row r="240" spans="3:6" ht="13.2" x14ac:dyDescent="0.25">
      <c r="C240" s="6"/>
      <c r="D240" s="6"/>
      <c r="E240" s="6"/>
      <c r="F240" s="6"/>
    </row>
    <row r="241" spans="3:6" ht="13.2" x14ac:dyDescent="0.25">
      <c r="C241" s="6"/>
      <c r="D241" s="6"/>
      <c r="E241" s="6"/>
      <c r="F241" s="6"/>
    </row>
    <row r="242" spans="3:6" ht="13.2" x14ac:dyDescent="0.25">
      <c r="C242" s="6"/>
      <c r="D242" s="6"/>
      <c r="E242" s="6"/>
      <c r="F242" s="6"/>
    </row>
    <row r="243" spans="3:6" ht="13.2" x14ac:dyDescent="0.25">
      <c r="C243" s="6"/>
      <c r="D243" s="6"/>
      <c r="E243" s="6"/>
      <c r="F243" s="6"/>
    </row>
    <row r="244" spans="3:6" ht="13.2" x14ac:dyDescent="0.25">
      <c r="C244" s="6"/>
      <c r="D244" s="6"/>
      <c r="E244" s="6"/>
      <c r="F244" s="6"/>
    </row>
    <row r="245" spans="3:6" ht="13.2" x14ac:dyDescent="0.25">
      <c r="C245" s="6"/>
      <c r="D245" s="6"/>
      <c r="E245" s="6"/>
      <c r="F245" s="6"/>
    </row>
    <row r="246" spans="3:6" ht="13.2" x14ac:dyDescent="0.25">
      <c r="C246" s="6"/>
      <c r="D246" s="6"/>
      <c r="E246" s="6"/>
      <c r="F246" s="6"/>
    </row>
    <row r="247" spans="3:6" ht="13.2" x14ac:dyDescent="0.25">
      <c r="C247" s="6"/>
      <c r="D247" s="6"/>
      <c r="E247" s="6"/>
      <c r="F247" s="6"/>
    </row>
    <row r="248" spans="3:6" ht="13.2" x14ac:dyDescent="0.25">
      <c r="C248" s="6"/>
      <c r="D248" s="6"/>
      <c r="E248" s="6"/>
      <c r="F248" s="6"/>
    </row>
    <row r="249" spans="3:6" ht="13.2" x14ac:dyDescent="0.25">
      <c r="C249" s="6"/>
      <c r="D249" s="6"/>
      <c r="E249" s="6"/>
      <c r="F249" s="6"/>
    </row>
    <row r="250" spans="3:6" ht="13.2" x14ac:dyDescent="0.25">
      <c r="C250" s="6"/>
      <c r="D250" s="6"/>
      <c r="E250" s="6"/>
      <c r="F250" s="6"/>
    </row>
    <row r="251" spans="3:6" ht="13.2" x14ac:dyDescent="0.25">
      <c r="C251" s="6"/>
      <c r="D251" s="6"/>
      <c r="E251" s="6"/>
      <c r="F251" s="6"/>
    </row>
    <row r="252" spans="3:6" ht="13.2" x14ac:dyDescent="0.25">
      <c r="C252" s="6"/>
      <c r="D252" s="6"/>
      <c r="E252" s="6"/>
      <c r="F252" s="6"/>
    </row>
    <row r="253" spans="3:6" ht="13.2" x14ac:dyDescent="0.25">
      <c r="C253" s="6"/>
      <c r="D253" s="6"/>
      <c r="E253" s="6"/>
      <c r="F253" s="6"/>
    </row>
    <row r="254" spans="3:6" ht="13.2" x14ac:dyDescent="0.25">
      <c r="C254" s="6"/>
      <c r="D254" s="6"/>
      <c r="E254" s="6"/>
      <c r="F254" s="6"/>
    </row>
    <row r="255" spans="3:6" ht="13.2" x14ac:dyDescent="0.25">
      <c r="C255" s="6"/>
      <c r="D255" s="6"/>
      <c r="E255" s="6"/>
      <c r="F255" s="6"/>
    </row>
    <row r="256" spans="3:6" ht="13.2" x14ac:dyDescent="0.25">
      <c r="C256" s="6"/>
      <c r="D256" s="6"/>
      <c r="E256" s="6"/>
      <c r="F256" s="6"/>
    </row>
    <row r="257" spans="3:6" ht="13.2" x14ac:dyDescent="0.25">
      <c r="C257" s="6"/>
      <c r="D257" s="6"/>
      <c r="E257" s="6"/>
      <c r="F257" s="6"/>
    </row>
    <row r="258" spans="3:6" ht="13.2" x14ac:dyDescent="0.25">
      <c r="C258" s="6"/>
      <c r="D258" s="6"/>
      <c r="E258" s="6"/>
      <c r="F258" s="6"/>
    </row>
    <row r="259" spans="3:6" ht="13.2" x14ac:dyDescent="0.25">
      <c r="C259" s="6"/>
      <c r="D259" s="6"/>
      <c r="E259" s="6"/>
      <c r="F259" s="6"/>
    </row>
    <row r="260" spans="3:6" ht="13.2" x14ac:dyDescent="0.25">
      <c r="C260" s="6"/>
      <c r="D260" s="6"/>
      <c r="E260" s="6"/>
      <c r="F260" s="6"/>
    </row>
    <row r="261" spans="3:6" ht="13.2" x14ac:dyDescent="0.25">
      <c r="C261" s="6"/>
      <c r="D261" s="6"/>
      <c r="E261" s="6"/>
      <c r="F261" s="6"/>
    </row>
    <row r="262" spans="3:6" ht="13.2" x14ac:dyDescent="0.25">
      <c r="C262" s="6"/>
      <c r="D262" s="6"/>
      <c r="E262" s="6"/>
      <c r="F262" s="6"/>
    </row>
    <row r="263" spans="3:6" ht="13.2" x14ac:dyDescent="0.25">
      <c r="C263" s="6"/>
      <c r="D263" s="6"/>
      <c r="E263" s="6"/>
      <c r="F263" s="6"/>
    </row>
    <row r="264" spans="3:6" ht="13.2" x14ac:dyDescent="0.25">
      <c r="C264" s="6"/>
      <c r="D264" s="6"/>
      <c r="E264" s="6"/>
      <c r="F264" s="6"/>
    </row>
    <row r="265" spans="3:6" ht="13.2" x14ac:dyDescent="0.25">
      <c r="C265" s="6"/>
      <c r="D265" s="6"/>
      <c r="E265" s="6"/>
      <c r="F265" s="6"/>
    </row>
    <row r="266" spans="3:6" ht="13.2" x14ac:dyDescent="0.25">
      <c r="C266" s="6"/>
      <c r="D266" s="6"/>
      <c r="E266" s="6"/>
      <c r="F266" s="6"/>
    </row>
    <row r="267" spans="3:6" ht="13.2" x14ac:dyDescent="0.25">
      <c r="C267" s="6"/>
      <c r="D267" s="6"/>
      <c r="E267" s="6"/>
      <c r="F267" s="6"/>
    </row>
    <row r="268" spans="3:6" ht="13.2" x14ac:dyDescent="0.25">
      <c r="C268" s="6"/>
      <c r="D268" s="6"/>
      <c r="E268" s="6"/>
      <c r="F268" s="6"/>
    </row>
    <row r="269" spans="3:6" ht="13.2" x14ac:dyDescent="0.25">
      <c r="C269" s="6"/>
      <c r="D269" s="6"/>
      <c r="E269" s="6"/>
      <c r="F269" s="6"/>
    </row>
    <row r="270" spans="3:6" ht="13.2" x14ac:dyDescent="0.25">
      <c r="C270" s="6"/>
      <c r="D270" s="6"/>
      <c r="E270" s="6"/>
      <c r="F270" s="6"/>
    </row>
    <row r="271" spans="3:6" ht="13.2" x14ac:dyDescent="0.25">
      <c r="C271" s="6"/>
      <c r="D271" s="6"/>
      <c r="E271" s="6"/>
      <c r="F271" s="6"/>
    </row>
    <row r="272" spans="3:6" ht="13.2" x14ac:dyDescent="0.25">
      <c r="C272" s="6"/>
      <c r="D272" s="6"/>
      <c r="E272" s="6"/>
      <c r="F272" s="6"/>
    </row>
    <row r="273" spans="3:6" ht="13.2" x14ac:dyDescent="0.25">
      <c r="C273" s="6"/>
      <c r="D273" s="6"/>
      <c r="E273" s="6"/>
      <c r="F273" s="6"/>
    </row>
    <row r="274" spans="3:6" ht="13.2" x14ac:dyDescent="0.25">
      <c r="C274" s="6"/>
      <c r="D274" s="6"/>
      <c r="E274" s="6"/>
      <c r="F274" s="6"/>
    </row>
    <row r="275" spans="3:6" ht="13.2" x14ac:dyDescent="0.25">
      <c r="C275" s="6"/>
      <c r="D275" s="6"/>
      <c r="E275" s="6"/>
      <c r="F275" s="6"/>
    </row>
    <row r="276" spans="3:6" ht="13.2" x14ac:dyDescent="0.25">
      <c r="C276" s="6"/>
      <c r="D276" s="6"/>
      <c r="E276" s="6"/>
      <c r="F276" s="6"/>
    </row>
    <row r="277" spans="3:6" ht="13.2" x14ac:dyDescent="0.25">
      <c r="C277" s="6"/>
      <c r="D277" s="6"/>
      <c r="E277" s="6"/>
      <c r="F277" s="6"/>
    </row>
    <row r="278" spans="3:6" ht="13.2" x14ac:dyDescent="0.25">
      <c r="C278" s="6"/>
      <c r="D278" s="6"/>
      <c r="E278" s="6"/>
      <c r="F278" s="6"/>
    </row>
    <row r="279" spans="3:6" ht="13.2" x14ac:dyDescent="0.25">
      <c r="C279" s="6"/>
      <c r="D279" s="6"/>
      <c r="E279" s="6"/>
      <c r="F279" s="6"/>
    </row>
    <row r="280" spans="3:6" ht="13.2" x14ac:dyDescent="0.25">
      <c r="C280" s="6"/>
      <c r="D280" s="6"/>
      <c r="E280" s="6"/>
      <c r="F280" s="6"/>
    </row>
    <row r="281" spans="3:6" ht="13.2" x14ac:dyDescent="0.25">
      <c r="C281" s="6"/>
      <c r="D281" s="6"/>
      <c r="E281" s="6"/>
      <c r="F281" s="6"/>
    </row>
    <row r="282" spans="3:6" ht="13.2" x14ac:dyDescent="0.25">
      <c r="C282" s="6"/>
      <c r="D282" s="6"/>
      <c r="E282" s="6"/>
      <c r="F282" s="6"/>
    </row>
    <row r="283" spans="3:6" ht="13.2" x14ac:dyDescent="0.25">
      <c r="C283" s="6"/>
      <c r="D283" s="6"/>
      <c r="E283" s="6"/>
      <c r="F283" s="6"/>
    </row>
    <row r="284" spans="3:6" ht="13.2" x14ac:dyDescent="0.25">
      <c r="C284" s="6"/>
      <c r="D284" s="6"/>
      <c r="E284" s="6"/>
      <c r="F284" s="6"/>
    </row>
    <row r="285" spans="3:6" ht="13.2" x14ac:dyDescent="0.25">
      <c r="C285" s="6"/>
      <c r="D285" s="6"/>
      <c r="E285" s="6"/>
      <c r="F285" s="6"/>
    </row>
    <row r="286" spans="3:6" ht="13.2" x14ac:dyDescent="0.25">
      <c r="C286" s="6"/>
      <c r="D286" s="6"/>
      <c r="E286" s="6"/>
      <c r="F286" s="6"/>
    </row>
    <row r="287" spans="3:6" ht="13.2" x14ac:dyDescent="0.25">
      <c r="C287" s="6"/>
      <c r="D287" s="6"/>
      <c r="E287" s="6"/>
      <c r="F287" s="6"/>
    </row>
    <row r="288" spans="3:6" ht="13.2" x14ac:dyDescent="0.25">
      <c r="C288" s="6"/>
      <c r="D288" s="6"/>
      <c r="E288" s="6"/>
      <c r="F288" s="6"/>
    </row>
    <row r="289" spans="3:6" ht="13.2" x14ac:dyDescent="0.25">
      <c r="C289" s="6"/>
      <c r="D289" s="6"/>
      <c r="E289" s="6"/>
      <c r="F289" s="6"/>
    </row>
    <row r="290" spans="3:6" ht="13.2" x14ac:dyDescent="0.25">
      <c r="C290" s="6"/>
      <c r="D290" s="6"/>
      <c r="E290" s="6"/>
      <c r="F290" s="6"/>
    </row>
    <row r="291" spans="3:6" ht="13.2" x14ac:dyDescent="0.25">
      <c r="C291" s="6"/>
      <c r="D291" s="6"/>
      <c r="E291" s="6"/>
      <c r="F291" s="6"/>
    </row>
    <row r="292" spans="3:6" ht="13.2" x14ac:dyDescent="0.25">
      <c r="C292" s="6"/>
      <c r="D292" s="6"/>
      <c r="E292" s="6"/>
      <c r="F292" s="6"/>
    </row>
    <row r="293" spans="3:6" ht="13.2" x14ac:dyDescent="0.25">
      <c r="C293" s="6"/>
      <c r="D293" s="6"/>
      <c r="E293" s="6"/>
      <c r="F293" s="6"/>
    </row>
    <row r="294" spans="3:6" ht="13.2" x14ac:dyDescent="0.25">
      <c r="C294" s="6"/>
      <c r="D294" s="6"/>
      <c r="E294" s="6"/>
      <c r="F294" s="6"/>
    </row>
    <row r="295" spans="3:6" ht="13.2" x14ac:dyDescent="0.25">
      <c r="C295" s="6"/>
      <c r="D295" s="6"/>
      <c r="E295" s="6"/>
      <c r="F295" s="6"/>
    </row>
    <row r="296" spans="3:6" ht="13.2" x14ac:dyDescent="0.25">
      <c r="C296" s="6"/>
      <c r="D296" s="6"/>
      <c r="E296" s="6"/>
      <c r="F296" s="6"/>
    </row>
    <row r="297" spans="3:6" ht="13.2" x14ac:dyDescent="0.25">
      <c r="C297" s="6"/>
      <c r="D297" s="6"/>
      <c r="E297" s="6"/>
      <c r="F297" s="6"/>
    </row>
    <row r="298" spans="3:6" ht="13.2" x14ac:dyDescent="0.25">
      <c r="C298" s="6"/>
      <c r="D298" s="6"/>
      <c r="E298" s="6"/>
      <c r="F298" s="6"/>
    </row>
    <row r="299" spans="3:6" ht="13.2" x14ac:dyDescent="0.25">
      <c r="C299" s="6"/>
      <c r="D299" s="6"/>
      <c r="E299" s="6"/>
      <c r="F299" s="6"/>
    </row>
    <row r="300" spans="3:6" ht="13.2" x14ac:dyDescent="0.25">
      <c r="C300" s="6"/>
      <c r="D300" s="6"/>
      <c r="E300" s="6"/>
      <c r="F300" s="6"/>
    </row>
    <row r="301" spans="3:6" ht="13.2" x14ac:dyDescent="0.25">
      <c r="C301" s="6"/>
      <c r="D301" s="6"/>
      <c r="E301" s="6"/>
      <c r="F301" s="6"/>
    </row>
    <row r="302" spans="3:6" ht="13.2" x14ac:dyDescent="0.25">
      <c r="C302" s="6"/>
      <c r="D302" s="6"/>
      <c r="E302" s="6"/>
      <c r="F302" s="6"/>
    </row>
    <row r="303" spans="3:6" ht="13.2" x14ac:dyDescent="0.25">
      <c r="C303" s="6"/>
      <c r="D303" s="6"/>
      <c r="E303" s="6"/>
      <c r="F303" s="6"/>
    </row>
    <row r="304" spans="3:6" ht="13.2" x14ac:dyDescent="0.25">
      <c r="C304" s="6"/>
      <c r="D304" s="6"/>
      <c r="E304" s="6"/>
      <c r="F304" s="6"/>
    </row>
    <row r="305" spans="3:6" ht="13.2" x14ac:dyDescent="0.25">
      <c r="C305" s="6"/>
      <c r="D305" s="6"/>
      <c r="E305" s="6"/>
      <c r="F305" s="6"/>
    </row>
    <row r="306" spans="3:6" ht="13.2" x14ac:dyDescent="0.25">
      <c r="C306" s="6"/>
      <c r="D306" s="6"/>
      <c r="E306" s="6"/>
      <c r="F306" s="6"/>
    </row>
    <row r="307" spans="3:6" ht="13.2" x14ac:dyDescent="0.25">
      <c r="C307" s="6"/>
      <c r="D307" s="6"/>
      <c r="E307" s="6"/>
      <c r="F307" s="6"/>
    </row>
    <row r="308" spans="3:6" ht="13.2" x14ac:dyDescent="0.25">
      <c r="C308" s="6"/>
      <c r="D308" s="6"/>
      <c r="E308" s="6"/>
      <c r="F308" s="6"/>
    </row>
    <row r="309" spans="3:6" ht="13.2" x14ac:dyDescent="0.25">
      <c r="C309" s="6"/>
      <c r="D309" s="6"/>
      <c r="E309" s="6"/>
      <c r="F309" s="6"/>
    </row>
    <row r="310" spans="3:6" ht="13.2" x14ac:dyDescent="0.25">
      <c r="C310" s="6"/>
      <c r="D310" s="6"/>
      <c r="E310" s="6"/>
      <c r="F310" s="6"/>
    </row>
    <row r="311" spans="3:6" ht="13.2" x14ac:dyDescent="0.25">
      <c r="C311" s="6"/>
      <c r="D311" s="6"/>
      <c r="E311" s="6"/>
      <c r="F311" s="6"/>
    </row>
    <row r="312" spans="3:6" ht="13.2" x14ac:dyDescent="0.25">
      <c r="C312" s="6"/>
      <c r="D312" s="6"/>
      <c r="E312" s="6"/>
      <c r="F312" s="6"/>
    </row>
    <row r="313" spans="3:6" ht="13.2" x14ac:dyDescent="0.25">
      <c r="C313" s="6"/>
      <c r="D313" s="6"/>
      <c r="E313" s="6"/>
      <c r="F313" s="6"/>
    </row>
    <row r="314" spans="3:6" ht="13.2" x14ac:dyDescent="0.25">
      <c r="C314" s="6"/>
      <c r="D314" s="6"/>
      <c r="E314" s="6"/>
      <c r="F314" s="6"/>
    </row>
    <row r="315" spans="3:6" ht="13.2" x14ac:dyDescent="0.25">
      <c r="C315" s="6"/>
      <c r="D315" s="6"/>
      <c r="E315" s="6"/>
      <c r="F315" s="6"/>
    </row>
    <row r="316" spans="3:6" ht="13.2" x14ac:dyDescent="0.25">
      <c r="C316" s="6"/>
      <c r="D316" s="6"/>
      <c r="E316" s="6"/>
      <c r="F316" s="6"/>
    </row>
    <row r="317" spans="3:6" ht="13.2" x14ac:dyDescent="0.25">
      <c r="C317" s="6"/>
      <c r="D317" s="6"/>
      <c r="E317" s="6"/>
      <c r="F317" s="6"/>
    </row>
    <row r="318" spans="3:6" ht="13.2" x14ac:dyDescent="0.25">
      <c r="C318" s="6"/>
      <c r="D318" s="6"/>
      <c r="E318" s="6"/>
      <c r="F318" s="6"/>
    </row>
    <row r="319" spans="3:6" ht="13.2" x14ac:dyDescent="0.25">
      <c r="C319" s="6"/>
      <c r="D319" s="6"/>
      <c r="E319" s="6"/>
      <c r="F319" s="6"/>
    </row>
    <row r="320" spans="3:6" ht="13.2" x14ac:dyDescent="0.25">
      <c r="C320" s="6"/>
      <c r="D320" s="6"/>
      <c r="E320" s="6"/>
      <c r="F320" s="6"/>
    </row>
    <row r="321" spans="3:6" ht="13.2" x14ac:dyDescent="0.25">
      <c r="C321" s="6"/>
      <c r="D321" s="6"/>
      <c r="E321" s="6"/>
      <c r="F321" s="6"/>
    </row>
    <row r="322" spans="3:6" ht="13.2" x14ac:dyDescent="0.25">
      <c r="C322" s="6"/>
      <c r="D322" s="6"/>
      <c r="E322" s="6"/>
      <c r="F322" s="6"/>
    </row>
    <row r="323" spans="3:6" ht="13.2" x14ac:dyDescent="0.25">
      <c r="C323" s="6"/>
      <c r="D323" s="6"/>
      <c r="E323" s="6"/>
      <c r="F323" s="6"/>
    </row>
    <row r="324" spans="3:6" ht="13.2" x14ac:dyDescent="0.25">
      <c r="C324" s="6"/>
      <c r="D324" s="6"/>
      <c r="E324" s="6"/>
      <c r="F324" s="6"/>
    </row>
    <row r="325" spans="3:6" ht="13.2" x14ac:dyDescent="0.25">
      <c r="C325" s="6"/>
      <c r="D325" s="6"/>
      <c r="E325" s="6"/>
      <c r="F325" s="6"/>
    </row>
    <row r="326" spans="3:6" ht="13.2" x14ac:dyDescent="0.25">
      <c r="C326" s="6"/>
      <c r="D326" s="6"/>
      <c r="E326" s="6"/>
      <c r="F326" s="6"/>
    </row>
    <row r="327" spans="3:6" ht="13.2" x14ac:dyDescent="0.25">
      <c r="C327" s="6"/>
      <c r="D327" s="6"/>
      <c r="E327" s="6"/>
      <c r="F327" s="6"/>
    </row>
    <row r="328" spans="3:6" ht="13.2" x14ac:dyDescent="0.25">
      <c r="C328" s="6"/>
      <c r="D328" s="6"/>
      <c r="E328" s="6"/>
      <c r="F328" s="6"/>
    </row>
    <row r="329" spans="3:6" ht="13.2" x14ac:dyDescent="0.25">
      <c r="C329" s="6"/>
      <c r="D329" s="6"/>
      <c r="E329" s="6"/>
      <c r="F329" s="6"/>
    </row>
    <row r="330" spans="3:6" ht="13.2" x14ac:dyDescent="0.25">
      <c r="C330" s="6"/>
      <c r="D330" s="6"/>
      <c r="E330" s="6"/>
      <c r="F330" s="6"/>
    </row>
    <row r="331" spans="3:6" ht="13.2" x14ac:dyDescent="0.25">
      <c r="C331" s="6"/>
      <c r="D331" s="6"/>
      <c r="E331" s="6"/>
      <c r="F331" s="6"/>
    </row>
    <row r="332" spans="3:6" ht="13.2" x14ac:dyDescent="0.25">
      <c r="C332" s="6"/>
      <c r="D332" s="6"/>
      <c r="E332" s="6"/>
      <c r="F332" s="6"/>
    </row>
    <row r="333" spans="3:6" ht="13.2" x14ac:dyDescent="0.25">
      <c r="C333" s="6"/>
      <c r="D333" s="6"/>
      <c r="E333" s="6"/>
      <c r="F333" s="6"/>
    </row>
    <row r="334" spans="3:6" ht="13.2" x14ac:dyDescent="0.25">
      <c r="C334" s="6"/>
      <c r="D334" s="6"/>
      <c r="E334" s="6"/>
      <c r="F334" s="6"/>
    </row>
    <row r="335" spans="3:6" ht="13.2" x14ac:dyDescent="0.25">
      <c r="C335" s="6"/>
      <c r="D335" s="6"/>
      <c r="E335" s="6"/>
      <c r="F335" s="6"/>
    </row>
    <row r="336" spans="3:6" ht="13.2" x14ac:dyDescent="0.25">
      <c r="C336" s="6"/>
      <c r="D336" s="6"/>
      <c r="E336" s="6"/>
      <c r="F336" s="6"/>
    </row>
    <row r="337" spans="3:6" ht="13.2" x14ac:dyDescent="0.25">
      <c r="C337" s="6"/>
      <c r="D337" s="6"/>
      <c r="E337" s="6"/>
      <c r="F337" s="6"/>
    </row>
    <row r="338" spans="3:6" ht="13.2" x14ac:dyDescent="0.25">
      <c r="C338" s="6"/>
      <c r="D338" s="6"/>
      <c r="E338" s="6"/>
      <c r="F338" s="6"/>
    </row>
    <row r="339" spans="3:6" ht="13.2" x14ac:dyDescent="0.25">
      <c r="C339" s="6"/>
      <c r="D339" s="6"/>
      <c r="E339" s="6"/>
      <c r="F339" s="6"/>
    </row>
    <row r="340" spans="3:6" ht="13.2" x14ac:dyDescent="0.25">
      <c r="C340" s="6"/>
      <c r="D340" s="6"/>
      <c r="E340" s="6"/>
      <c r="F340" s="6"/>
    </row>
    <row r="341" spans="3:6" ht="13.2" x14ac:dyDescent="0.25">
      <c r="C341" s="6"/>
      <c r="D341" s="6"/>
      <c r="E341" s="6"/>
      <c r="F341" s="6"/>
    </row>
    <row r="342" spans="3:6" ht="13.2" x14ac:dyDescent="0.25">
      <c r="C342" s="6"/>
      <c r="D342" s="6"/>
      <c r="E342" s="6"/>
      <c r="F342" s="6"/>
    </row>
    <row r="343" spans="3:6" ht="13.2" x14ac:dyDescent="0.25">
      <c r="C343" s="6"/>
      <c r="D343" s="6"/>
      <c r="E343" s="6"/>
      <c r="F343" s="6"/>
    </row>
    <row r="344" spans="3:6" ht="13.2" x14ac:dyDescent="0.25">
      <c r="C344" s="6"/>
      <c r="D344" s="6"/>
      <c r="E344" s="6"/>
      <c r="F344" s="6"/>
    </row>
    <row r="345" spans="3:6" ht="13.2" x14ac:dyDescent="0.25">
      <c r="C345" s="6"/>
      <c r="D345" s="6"/>
      <c r="E345" s="6"/>
      <c r="F345" s="6"/>
    </row>
    <row r="346" spans="3:6" ht="13.2" x14ac:dyDescent="0.25">
      <c r="C346" s="6"/>
      <c r="D346" s="6"/>
      <c r="E346" s="6"/>
      <c r="F346" s="6"/>
    </row>
    <row r="347" spans="3:6" ht="13.2" x14ac:dyDescent="0.25">
      <c r="C347" s="6"/>
      <c r="D347" s="6"/>
      <c r="E347" s="6"/>
      <c r="F347" s="6"/>
    </row>
    <row r="348" spans="3:6" ht="13.2" x14ac:dyDescent="0.25">
      <c r="C348" s="6"/>
      <c r="D348" s="6"/>
      <c r="E348" s="6"/>
      <c r="F348" s="6"/>
    </row>
    <row r="349" spans="3:6" ht="13.2" x14ac:dyDescent="0.25">
      <c r="C349" s="6"/>
      <c r="D349" s="6"/>
      <c r="E349" s="6"/>
      <c r="F349" s="6"/>
    </row>
    <row r="350" spans="3:6" ht="13.2" x14ac:dyDescent="0.25">
      <c r="C350" s="6"/>
      <c r="D350" s="6"/>
      <c r="E350" s="6"/>
      <c r="F350" s="6"/>
    </row>
    <row r="351" spans="3:6" ht="13.2" x14ac:dyDescent="0.25">
      <c r="C351" s="6"/>
      <c r="D351" s="6"/>
      <c r="E351" s="6"/>
      <c r="F351" s="6"/>
    </row>
    <row r="352" spans="3:6" ht="13.2" x14ac:dyDescent="0.25">
      <c r="C352" s="6"/>
      <c r="D352" s="6"/>
      <c r="E352" s="6"/>
      <c r="F352" s="6"/>
    </row>
    <row r="353" spans="3:6" ht="13.2" x14ac:dyDescent="0.25">
      <c r="C353" s="6"/>
      <c r="D353" s="6"/>
      <c r="E353" s="6"/>
      <c r="F353" s="6"/>
    </row>
    <row r="354" spans="3:6" ht="13.2" x14ac:dyDescent="0.25">
      <c r="C354" s="6"/>
      <c r="D354" s="6"/>
      <c r="E354" s="6"/>
      <c r="F354" s="6"/>
    </row>
    <row r="355" spans="3:6" ht="13.2" x14ac:dyDescent="0.25">
      <c r="C355" s="6"/>
      <c r="D355" s="6"/>
      <c r="E355" s="6"/>
      <c r="F355" s="6"/>
    </row>
    <row r="356" spans="3:6" ht="13.2" x14ac:dyDescent="0.25">
      <c r="C356" s="6"/>
      <c r="D356" s="6"/>
      <c r="E356" s="6"/>
      <c r="F356" s="6"/>
    </row>
    <row r="357" spans="3:6" ht="13.2" x14ac:dyDescent="0.25">
      <c r="C357" s="6"/>
      <c r="D357" s="6"/>
      <c r="E357" s="6"/>
      <c r="F357" s="6"/>
    </row>
    <row r="358" spans="3:6" ht="13.2" x14ac:dyDescent="0.25">
      <c r="C358" s="6"/>
      <c r="D358" s="6"/>
      <c r="E358" s="6"/>
      <c r="F358" s="6"/>
    </row>
    <row r="359" spans="3:6" ht="13.2" x14ac:dyDescent="0.25">
      <c r="C359" s="6"/>
      <c r="D359" s="6"/>
      <c r="E359" s="6"/>
      <c r="F359" s="6"/>
    </row>
    <row r="360" spans="3:6" ht="13.2" x14ac:dyDescent="0.25">
      <c r="C360" s="6"/>
      <c r="D360" s="6"/>
      <c r="E360" s="6"/>
      <c r="F360" s="6"/>
    </row>
    <row r="361" spans="3:6" ht="13.2" x14ac:dyDescent="0.25">
      <c r="C361" s="6"/>
      <c r="D361" s="6"/>
      <c r="E361" s="6"/>
      <c r="F361" s="6"/>
    </row>
    <row r="362" spans="3:6" ht="13.2" x14ac:dyDescent="0.25">
      <c r="C362" s="6"/>
      <c r="D362" s="6"/>
      <c r="E362" s="6"/>
      <c r="F362" s="6"/>
    </row>
    <row r="363" spans="3:6" ht="13.2" x14ac:dyDescent="0.25">
      <c r="C363" s="6"/>
      <c r="D363" s="6"/>
      <c r="E363" s="6"/>
      <c r="F363" s="6"/>
    </row>
    <row r="364" spans="3:6" ht="13.2" x14ac:dyDescent="0.25">
      <c r="C364" s="6"/>
      <c r="D364" s="6"/>
      <c r="E364" s="6"/>
      <c r="F364" s="6"/>
    </row>
    <row r="365" spans="3:6" ht="13.2" x14ac:dyDescent="0.25">
      <c r="C365" s="6"/>
      <c r="D365" s="6"/>
      <c r="E365" s="6"/>
      <c r="F365" s="6"/>
    </row>
    <row r="366" spans="3:6" ht="13.2" x14ac:dyDescent="0.25">
      <c r="C366" s="6"/>
      <c r="D366" s="6"/>
      <c r="E366" s="6"/>
      <c r="F366" s="6"/>
    </row>
    <row r="367" spans="3:6" ht="13.2" x14ac:dyDescent="0.25">
      <c r="C367" s="6"/>
      <c r="D367" s="6"/>
      <c r="E367" s="6"/>
      <c r="F367" s="6"/>
    </row>
    <row r="368" spans="3:6" ht="13.2" x14ac:dyDescent="0.25">
      <c r="C368" s="6"/>
      <c r="D368" s="6"/>
      <c r="E368" s="6"/>
      <c r="F368" s="6"/>
    </row>
    <row r="369" spans="3:6" ht="13.2" x14ac:dyDescent="0.25">
      <c r="C369" s="6"/>
      <c r="D369" s="6"/>
      <c r="E369" s="6"/>
      <c r="F369" s="6"/>
    </row>
    <row r="370" spans="3:6" ht="13.2" x14ac:dyDescent="0.25">
      <c r="C370" s="6"/>
      <c r="D370" s="6"/>
      <c r="E370" s="6"/>
      <c r="F370" s="6"/>
    </row>
    <row r="371" spans="3:6" ht="13.2" x14ac:dyDescent="0.25">
      <c r="C371" s="6"/>
      <c r="D371" s="6"/>
      <c r="E371" s="6"/>
      <c r="F371" s="6"/>
    </row>
    <row r="372" spans="3:6" ht="13.2" x14ac:dyDescent="0.25">
      <c r="C372" s="6"/>
      <c r="D372" s="6"/>
      <c r="E372" s="6"/>
      <c r="F372" s="6"/>
    </row>
    <row r="373" spans="3:6" ht="13.2" x14ac:dyDescent="0.25">
      <c r="C373" s="6"/>
      <c r="D373" s="6"/>
      <c r="E373" s="6"/>
      <c r="F373" s="6"/>
    </row>
    <row r="374" spans="3:6" ht="13.2" x14ac:dyDescent="0.25">
      <c r="C374" s="6"/>
      <c r="D374" s="6"/>
      <c r="E374" s="6"/>
      <c r="F374" s="6"/>
    </row>
    <row r="375" spans="3:6" ht="13.2" x14ac:dyDescent="0.25">
      <c r="C375" s="6"/>
      <c r="D375" s="6"/>
      <c r="E375" s="6"/>
      <c r="F375" s="6"/>
    </row>
    <row r="376" spans="3:6" ht="13.2" x14ac:dyDescent="0.25">
      <c r="C376" s="6"/>
      <c r="D376" s="6"/>
      <c r="E376" s="6"/>
      <c r="F376" s="6"/>
    </row>
    <row r="377" spans="3:6" ht="13.2" x14ac:dyDescent="0.25">
      <c r="C377" s="6"/>
      <c r="D377" s="6"/>
      <c r="E377" s="6"/>
      <c r="F377" s="6"/>
    </row>
    <row r="378" spans="3:6" ht="13.2" x14ac:dyDescent="0.25">
      <c r="C378" s="6"/>
      <c r="D378" s="6"/>
      <c r="E378" s="6"/>
      <c r="F378" s="6"/>
    </row>
    <row r="379" spans="3:6" ht="13.2" x14ac:dyDescent="0.25">
      <c r="C379" s="6"/>
      <c r="D379" s="6"/>
      <c r="E379" s="6"/>
      <c r="F379" s="6"/>
    </row>
    <row r="380" spans="3:6" ht="13.2" x14ac:dyDescent="0.25">
      <c r="C380" s="6"/>
      <c r="D380" s="6"/>
      <c r="E380" s="6"/>
      <c r="F380" s="6"/>
    </row>
    <row r="381" spans="3:6" ht="13.2" x14ac:dyDescent="0.25">
      <c r="C381" s="6"/>
      <c r="D381" s="6"/>
      <c r="E381" s="6"/>
      <c r="F381" s="6"/>
    </row>
    <row r="382" spans="3:6" ht="13.2" x14ac:dyDescent="0.25">
      <c r="C382" s="6"/>
      <c r="D382" s="6"/>
      <c r="E382" s="6"/>
      <c r="F382" s="6"/>
    </row>
    <row r="383" spans="3:6" ht="13.2" x14ac:dyDescent="0.25">
      <c r="C383" s="6"/>
      <c r="D383" s="6"/>
      <c r="E383" s="6"/>
      <c r="F383" s="6"/>
    </row>
    <row r="384" spans="3:6" ht="13.2" x14ac:dyDescent="0.25">
      <c r="C384" s="6"/>
      <c r="D384" s="6"/>
      <c r="E384" s="6"/>
      <c r="F384" s="6"/>
    </row>
    <row r="385" spans="3:6" ht="13.2" x14ac:dyDescent="0.25">
      <c r="C385" s="6"/>
      <c r="D385" s="6"/>
      <c r="E385" s="6"/>
      <c r="F385" s="6"/>
    </row>
    <row r="386" spans="3:6" ht="13.2" x14ac:dyDescent="0.25">
      <c r="C386" s="6"/>
      <c r="D386" s="6"/>
      <c r="E386" s="6"/>
      <c r="F386" s="6"/>
    </row>
    <row r="387" spans="3:6" ht="13.2" x14ac:dyDescent="0.25">
      <c r="C387" s="6"/>
      <c r="D387" s="6"/>
      <c r="E387" s="6"/>
      <c r="F387" s="6"/>
    </row>
    <row r="388" spans="3:6" ht="13.2" x14ac:dyDescent="0.25">
      <c r="C388" s="6"/>
      <c r="D388" s="6"/>
      <c r="E388" s="6"/>
      <c r="F388" s="6"/>
    </row>
    <row r="389" spans="3:6" ht="13.2" x14ac:dyDescent="0.25">
      <c r="C389" s="6"/>
      <c r="D389" s="6"/>
      <c r="E389" s="6"/>
      <c r="F389" s="6"/>
    </row>
    <row r="390" spans="3:6" ht="13.2" x14ac:dyDescent="0.25">
      <c r="C390" s="6"/>
      <c r="D390" s="6"/>
      <c r="E390" s="6"/>
      <c r="F390" s="6"/>
    </row>
    <row r="391" spans="3:6" ht="13.2" x14ac:dyDescent="0.25">
      <c r="C391" s="6"/>
      <c r="D391" s="6"/>
      <c r="E391" s="6"/>
      <c r="F391" s="6"/>
    </row>
    <row r="392" spans="3:6" ht="13.2" x14ac:dyDescent="0.25">
      <c r="C392" s="6"/>
      <c r="D392" s="6"/>
      <c r="E392" s="6"/>
      <c r="F392" s="6"/>
    </row>
    <row r="393" spans="3:6" ht="13.2" x14ac:dyDescent="0.25">
      <c r="C393" s="6"/>
      <c r="D393" s="6"/>
      <c r="E393" s="6"/>
      <c r="F393" s="6"/>
    </row>
    <row r="394" spans="3:6" ht="13.2" x14ac:dyDescent="0.25">
      <c r="C394" s="6"/>
      <c r="D394" s="6"/>
      <c r="E394" s="6"/>
      <c r="F394" s="6"/>
    </row>
    <row r="395" spans="3:6" ht="13.2" x14ac:dyDescent="0.25">
      <c r="C395" s="6"/>
      <c r="D395" s="6"/>
      <c r="E395" s="6"/>
      <c r="F395" s="6"/>
    </row>
    <row r="396" spans="3:6" ht="13.2" x14ac:dyDescent="0.25">
      <c r="C396" s="6"/>
      <c r="D396" s="6"/>
      <c r="E396" s="6"/>
      <c r="F396" s="6"/>
    </row>
    <row r="397" spans="3:6" ht="13.2" x14ac:dyDescent="0.25">
      <c r="C397" s="6"/>
      <c r="D397" s="6"/>
      <c r="E397" s="6"/>
      <c r="F397" s="6"/>
    </row>
    <row r="398" spans="3:6" ht="13.2" x14ac:dyDescent="0.25">
      <c r="C398" s="6"/>
      <c r="D398" s="6"/>
      <c r="E398" s="6"/>
      <c r="F398" s="6"/>
    </row>
    <row r="399" spans="3:6" ht="13.2" x14ac:dyDescent="0.25">
      <c r="C399" s="6"/>
      <c r="D399" s="6"/>
      <c r="E399" s="6"/>
      <c r="F399" s="6"/>
    </row>
    <row r="400" spans="3:6" ht="13.2" x14ac:dyDescent="0.25">
      <c r="C400" s="6"/>
      <c r="D400" s="6"/>
      <c r="E400" s="6"/>
      <c r="F400" s="6"/>
    </row>
    <row r="401" spans="3:6" ht="13.2" x14ac:dyDescent="0.25">
      <c r="C401" s="6"/>
      <c r="D401" s="6"/>
      <c r="E401" s="6"/>
      <c r="F401" s="6"/>
    </row>
    <row r="402" spans="3:6" ht="13.2" x14ac:dyDescent="0.25">
      <c r="C402" s="6"/>
      <c r="D402" s="6"/>
      <c r="E402" s="6"/>
      <c r="F402" s="6"/>
    </row>
    <row r="403" spans="3:6" ht="13.2" x14ac:dyDescent="0.25">
      <c r="C403" s="6"/>
      <c r="D403" s="6"/>
      <c r="E403" s="6"/>
      <c r="F403" s="6"/>
    </row>
    <row r="404" spans="3:6" ht="13.2" x14ac:dyDescent="0.25">
      <c r="C404" s="6"/>
      <c r="D404" s="6"/>
      <c r="E404" s="6"/>
      <c r="F404" s="6"/>
    </row>
    <row r="405" spans="3:6" ht="13.2" x14ac:dyDescent="0.25">
      <c r="C405" s="6"/>
      <c r="D405" s="6"/>
      <c r="E405" s="6"/>
      <c r="F405" s="6"/>
    </row>
    <row r="406" spans="3:6" ht="13.2" x14ac:dyDescent="0.25">
      <c r="C406" s="6"/>
      <c r="D406" s="6"/>
      <c r="E406" s="6"/>
      <c r="F406" s="6"/>
    </row>
    <row r="407" spans="3:6" ht="13.2" x14ac:dyDescent="0.25">
      <c r="C407" s="6"/>
      <c r="D407" s="6"/>
      <c r="E407" s="6"/>
      <c r="F407" s="6"/>
    </row>
    <row r="408" spans="3:6" ht="13.2" x14ac:dyDescent="0.25">
      <c r="C408" s="6"/>
      <c r="D408" s="6"/>
      <c r="E408" s="6"/>
      <c r="F408" s="6"/>
    </row>
    <row r="409" spans="3:6" ht="13.2" x14ac:dyDescent="0.25">
      <c r="C409" s="6"/>
      <c r="D409" s="6"/>
      <c r="E409" s="6"/>
      <c r="F409" s="6"/>
    </row>
    <row r="410" spans="3:6" ht="13.2" x14ac:dyDescent="0.25">
      <c r="C410" s="6"/>
      <c r="D410" s="6"/>
      <c r="E410" s="6"/>
      <c r="F410" s="6"/>
    </row>
    <row r="411" spans="3:6" ht="13.2" x14ac:dyDescent="0.25">
      <c r="C411" s="6"/>
      <c r="D411" s="6"/>
      <c r="E411" s="6"/>
      <c r="F411" s="6"/>
    </row>
    <row r="412" spans="3:6" ht="13.2" x14ac:dyDescent="0.25">
      <c r="C412" s="6"/>
      <c r="D412" s="6"/>
      <c r="E412" s="6"/>
      <c r="F412" s="6"/>
    </row>
    <row r="413" spans="3:6" ht="13.2" x14ac:dyDescent="0.25">
      <c r="C413" s="6"/>
      <c r="D413" s="6"/>
      <c r="E413" s="6"/>
      <c r="F413" s="6"/>
    </row>
    <row r="414" spans="3:6" ht="13.2" x14ac:dyDescent="0.25">
      <c r="C414" s="6"/>
      <c r="D414" s="6"/>
      <c r="E414" s="6"/>
      <c r="F414" s="6"/>
    </row>
    <row r="415" spans="3:6" ht="13.2" x14ac:dyDescent="0.25">
      <c r="C415" s="6"/>
      <c r="D415" s="6"/>
      <c r="E415" s="6"/>
      <c r="F415" s="6"/>
    </row>
    <row r="416" spans="3:6" ht="13.2" x14ac:dyDescent="0.25">
      <c r="C416" s="6"/>
      <c r="D416" s="6"/>
      <c r="E416" s="6"/>
      <c r="F416" s="6"/>
    </row>
    <row r="417" spans="3:6" ht="13.2" x14ac:dyDescent="0.25">
      <c r="C417" s="6"/>
      <c r="D417" s="6"/>
      <c r="E417" s="6"/>
      <c r="F417" s="6"/>
    </row>
    <row r="418" spans="3:6" ht="13.2" x14ac:dyDescent="0.25">
      <c r="C418" s="6"/>
      <c r="D418" s="6"/>
      <c r="E418" s="6"/>
      <c r="F418" s="6"/>
    </row>
    <row r="419" spans="3:6" ht="13.2" x14ac:dyDescent="0.25">
      <c r="C419" s="6"/>
      <c r="D419" s="6"/>
      <c r="E419" s="6"/>
      <c r="F419" s="6"/>
    </row>
    <row r="420" spans="3:6" ht="13.2" x14ac:dyDescent="0.25">
      <c r="C420" s="6"/>
      <c r="D420" s="6"/>
      <c r="E420" s="6"/>
      <c r="F420" s="6"/>
    </row>
    <row r="421" spans="3:6" ht="13.2" x14ac:dyDescent="0.25">
      <c r="C421" s="6"/>
      <c r="D421" s="6"/>
      <c r="E421" s="6"/>
      <c r="F421" s="6"/>
    </row>
    <row r="422" spans="3:6" ht="13.2" x14ac:dyDescent="0.25">
      <c r="C422" s="6"/>
      <c r="D422" s="6"/>
      <c r="E422" s="6"/>
      <c r="F422" s="6"/>
    </row>
    <row r="423" spans="3:6" ht="13.2" x14ac:dyDescent="0.25">
      <c r="C423" s="6"/>
      <c r="D423" s="6"/>
      <c r="E423" s="6"/>
      <c r="F423" s="6"/>
    </row>
    <row r="424" spans="3:6" ht="13.2" x14ac:dyDescent="0.25">
      <c r="C424" s="6"/>
      <c r="D424" s="6"/>
      <c r="E424" s="6"/>
      <c r="F424" s="6"/>
    </row>
    <row r="425" spans="3:6" ht="13.2" x14ac:dyDescent="0.25">
      <c r="C425" s="6"/>
      <c r="D425" s="6"/>
      <c r="E425" s="6"/>
      <c r="F425" s="6"/>
    </row>
    <row r="426" spans="3:6" ht="13.2" x14ac:dyDescent="0.25">
      <c r="C426" s="6"/>
      <c r="D426" s="6"/>
      <c r="E426" s="6"/>
      <c r="F426" s="6"/>
    </row>
    <row r="427" spans="3:6" ht="13.2" x14ac:dyDescent="0.25">
      <c r="C427" s="6"/>
      <c r="D427" s="6"/>
      <c r="E427" s="6"/>
      <c r="F427" s="6"/>
    </row>
    <row r="428" spans="3:6" ht="13.2" x14ac:dyDescent="0.25">
      <c r="C428" s="6"/>
      <c r="D428" s="6"/>
      <c r="E428" s="6"/>
      <c r="F428" s="6"/>
    </row>
    <row r="429" spans="3:6" ht="13.2" x14ac:dyDescent="0.25">
      <c r="C429" s="6"/>
      <c r="D429" s="6"/>
      <c r="E429" s="6"/>
      <c r="F429" s="6"/>
    </row>
    <row r="430" spans="3:6" ht="13.2" x14ac:dyDescent="0.25">
      <c r="C430" s="6"/>
      <c r="D430" s="6"/>
      <c r="E430" s="6"/>
      <c r="F430" s="6"/>
    </row>
    <row r="431" spans="3:6" ht="13.2" x14ac:dyDescent="0.25">
      <c r="C431" s="6"/>
      <c r="D431" s="6"/>
      <c r="E431" s="6"/>
      <c r="F431" s="6"/>
    </row>
    <row r="432" spans="3:6" ht="13.2" x14ac:dyDescent="0.25">
      <c r="C432" s="6"/>
      <c r="D432" s="6"/>
      <c r="E432" s="6"/>
      <c r="F432" s="6"/>
    </row>
    <row r="433" spans="3:6" ht="13.2" x14ac:dyDescent="0.25">
      <c r="C433" s="6"/>
      <c r="D433" s="6"/>
      <c r="E433" s="6"/>
      <c r="F433" s="6"/>
    </row>
    <row r="434" spans="3:6" ht="13.2" x14ac:dyDescent="0.25">
      <c r="C434" s="6"/>
      <c r="D434" s="6"/>
      <c r="E434" s="6"/>
      <c r="F434" s="6"/>
    </row>
    <row r="435" spans="3:6" ht="13.2" x14ac:dyDescent="0.25">
      <c r="C435" s="6"/>
      <c r="D435" s="6"/>
      <c r="E435" s="6"/>
      <c r="F435" s="6"/>
    </row>
    <row r="436" spans="3:6" ht="13.2" x14ac:dyDescent="0.25">
      <c r="C436" s="6"/>
      <c r="D436" s="6"/>
      <c r="E436" s="6"/>
      <c r="F436" s="6"/>
    </row>
    <row r="437" spans="3:6" ht="13.2" x14ac:dyDescent="0.25">
      <c r="C437" s="6"/>
      <c r="D437" s="6"/>
      <c r="E437" s="6"/>
      <c r="F437" s="6"/>
    </row>
    <row r="438" spans="3:6" ht="13.2" x14ac:dyDescent="0.25">
      <c r="C438" s="6"/>
      <c r="D438" s="6"/>
      <c r="E438" s="6"/>
      <c r="F438" s="6"/>
    </row>
    <row r="439" spans="3:6" ht="13.2" x14ac:dyDescent="0.25">
      <c r="C439" s="6"/>
      <c r="D439" s="6"/>
      <c r="E439" s="6"/>
      <c r="F439" s="6"/>
    </row>
    <row r="440" spans="3:6" ht="13.2" x14ac:dyDescent="0.25">
      <c r="C440" s="6"/>
      <c r="D440" s="6"/>
      <c r="E440" s="6"/>
      <c r="F440" s="6"/>
    </row>
    <row r="441" spans="3:6" ht="13.2" x14ac:dyDescent="0.25">
      <c r="C441" s="6"/>
      <c r="D441" s="6"/>
      <c r="E441" s="6"/>
      <c r="F441" s="6"/>
    </row>
    <row r="442" spans="3:6" ht="13.2" x14ac:dyDescent="0.25">
      <c r="C442" s="6"/>
      <c r="D442" s="6"/>
      <c r="E442" s="6"/>
      <c r="F442" s="6"/>
    </row>
    <row r="443" spans="3:6" ht="13.2" x14ac:dyDescent="0.25">
      <c r="C443" s="6"/>
      <c r="D443" s="6"/>
      <c r="E443" s="6"/>
      <c r="F443" s="6"/>
    </row>
    <row r="444" spans="3:6" ht="13.2" x14ac:dyDescent="0.25">
      <c r="C444" s="6"/>
      <c r="D444" s="6"/>
      <c r="E444" s="6"/>
      <c r="F444" s="6"/>
    </row>
    <row r="445" spans="3:6" ht="13.2" x14ac:dyDescent="0.25">
      <c r="C445" s="6"/>
      <c r="D445" s="6"/>
      <c r="E445" s="6"/>
      <c r="F445" s="6"/>
    </row>
    <row r="446" spans="3:6" ht="13.2" x14ac:dyDescent="0.25">
      <c r="C446" s="6"/>
      <c r="D446" s="6"/>
      <c r="E446" s="6"/>
      <c r="F446" s="6"/>
    </row>
    <row r="447" spans="3:6" ht="13.2" x14ac:dyDescent="0.25">
      <c r="C447" s="6"/>
      <c r="D447" s="6"/>
      <c r="E447" s="6"/>
      <c r="F447" s="6"/>
    </row>
    <row r="448" spans="3:6" ht="13.2" x14ac:dyDescent="0.25">
      <c r="C448" s="6"/>
      <c r="D448" s="6"/>
      <c r="E448" s="6"/>
      <c r="F448" s="6"/>
    </row>
    <row r="449" spans="3:6" ht="13.2" x14ac:dyDescent="0.25">
      <c r="C449" s="6"/>
      <c r="D449" s="6"/>
      <c r="E449" s="6"/>
      <c r="F449" s="6"/>
    </row>
    <row r="450" spans="3:6" ht="13.2" x14ac:dyDescent="0.25">
      <c r="C450" s="6"/>
      <c r="D450" s="6"/>
      <c r="E450" s="6"/>
      <c r="F450" s="6"/>
    </row>
    <row r="451" spans="3:6" ht="13.2" x14ac:dyDescent="0.25">
      <c r="C451" s="6"/>
      <c r="D451" s="6"/>
      <c r="E451" s="6"/>
      <c r="F451" s="6"/>
    </row>
    <row r="452" spans="3:6" ht="13.2" x14ac:dyDescent="0.25">
      <c r="C452" s="6"/>
      <c r="D452" s="6"/>
      <c r="E452" s="6"/>
      <c r="F452" s="6"/>
    </row>
    <row r="453" spans="3:6" ht="13.2" x14ac:dyDescent="0.25">
      <c r="C453" s="6"/>
      <c r="D453" s="6"/>
      <c r="E453" s="6"/>
      <c r="F453" s="6"/>
    </row>
    <row r="454" spans="3:6" ht="13.2" x14ac:dyDescent="0.25">
      <c r="C454" s="6"/>
      <c r="D454" s="6"/>
      <c r="E454" s="6"/>
      <c r="F454" s="6"/>
    </row>
    <row r="455" spans="3:6" ht="13.2" x14ac:dyDescent="0.25">
      <c r="C455" s="6"/>
      <c r="D455" s="6"/>
      <c r="E455" s="6"/>
      <c r="F455" s="6"/>
    </row>
    <row r="456" spans="3:6" ht="13.2" x14ac:dyDescent="0.25">
      <c r="C456" s="6"/>
      <c r="D456" s="6"/>
      <c r="E456" s="6"/>
      <c r="F456" s="6"/>
    </row>
    <row r="457" spans="3:6" ht="13.2" x14ac:dyDescent="0.25">
      <c r="C457" s="6"/>
      <c r="D457" s="6"/>
      <c r="E457" s="6"/>
      <c r="F457" s="6"/>
    </row>
    <row r="458" spans="3:6" ht="13.2" x14ac:dyDescent="0.25">
      <c r="C458" s="6"/>
      <c r="D458" s="6"/>
      <c r="E458" s="6"/>
      <c r="F458" s="6"/>
    </row>
    <row r="459" spans="3:6" ht="13.2" x14ac:dyDescent="0.25">
      <c r="C459" s="6"/>
      <c r="D459" s="6"/>
      <c r="E459" s="6"/>
      <c r="F459" s="6"/>
    </row>
    <row r="460" spans="3:6" ht="13.2" x14ac:dyDescent="0.25">
      <c r="C460" s="6"/>
      <c r="D460" s="6"/>
      <c r="E460" s="6"/>
      <c r="F460" s="6"/>
    </row>
    <row r="461" spans="3:6" ht="13.2" x14ac:dyDescent="0.25">
      <c r="C461" s="6"/>
      <c r="D461" s="6"/>
      <c r="E461" s="6"/>
      <c r="F461" s="6"/>
    </row>
    <row r="462" spans="3:6" ht="13.2" x14ac:dyDescent="0.25">
      <c r="C462" s="6"/>
      <c r="D462" s="6"/>
      <c r="E462" s="6"/>
      <c r="F462" s="6"/>
    </row>
    <row r="463" spans="3:6" ht="13.2" x14ac:dyDescent="0.25">
      <c r="C463" s="6"/>
      <c r="D463" s="6"/>
      <c r="E463" s="6"/>
      <c r="F463" s="6"/>
    </row>
    <row r="464" spans="3:6" ht="13.2" x14ac:dyDescent="0.25">
      <c r="C464" s="6"/>
      <c r="D464" s="6"/>
      <c r="E464" s="6"/>
      <c r="F464" s="6"/>
    </row>
    <row r="465" spans="3:6" ht="13.2" x14ac:dyDescent="0.25">
      <c r="C465" s="6"/>
      <c r="D465" s="6"/>
      <c r="E465" s="6"/>
      <c r="F465" s="6"/>
    </row>
    <row r="466" spans="3:6" ht="13.2" x14ac:dyDescent="0.25">
      <c r="C466" s="6"/>
      <c r="D466" s="6"/>
      <c r="E466" s="6"/>
      <c r="F466" s="6"/>
    </row>
    <row r="467" spans="3:6" ht="13.2" x14ac:dyDescent="0.25">
      <c r="C467" s="6"/>
      <c r="D467" s="6"/>
      <c r="E467" s="6"/>
      <c r="F467" s="6"/>
    </row>
    <row r="468" spans="3:6" ht="13.2" x14ac:dyDescent="0.25">
      <c r="C468" s="6"/>
      <c r="D468" s="6"/>
      <c r="E468" s="6"/>
      <c r="F468" s="6"/>
    </row>
    <row r="469" spans="3:6" ht="13.2" x14ac:dyDescent="0.25">
      <c r="C469" s="6"/>
      <c r="D469" s="6"/>
      <c r="E469" s="6"/>
      <c r="F469" s="6"/>
    </row>
    <row r="470" spans="3:6" ht="13.2" x14ac:dyDescent="0.25">
      <c r="C470" s="6"/>
      <c r="D470" s="6"/>
      <c r="E470" s="6"/>
      <c r="F470" s="6"/>
    </row>
    <row r="471" spans="3:6" ht="13.2" x14ac:dyDescent="0.25">
      <c r="C471" s="6"/>
      <c r="D471" s="6"/>
      <c r="E471" s="6"/>
      <c r="F471" s="6"/>
    </row>
    <row r="472" spans="3:6" ht="13.2" x14ac:dyDescent="0.25">
      <c r="C472" s="6"/>
      <c r="D472" s="6"/>
      <c r="E472" s="6"/>
      <c r="F472" s="6"/>
    </row>
    <row r="473" spans="3:6" ht="13.2" x14ac:dyDescent="0.25">
      <c r="C473" s="6"/>
      <c r="D473" s="6"/>
      <c r="E473" s="6"/>
      <c r="F473" s="6"/>
    </row>
    <row r="474" spans="3:6" ht="13.2" x14ac:dyDescent="0.25">
      <c r="C474" s="6"/>
      <c r="D474" s="6"/>
      <c r="E474" s="6"/>
      <c r="F474" s="6"/>
    </row>
    <row r="475" spans="3:6" ht="13.2" x14ac:dyDescent="0.25">
      <c r="C475" s="6"/>
      <c r="D475" s="6"/>
      <c r="E475" s="6"/>
      <c r="F475" s="6"/>
    </row>
    <row r="476" spans="3:6" ht="13.2" x14ac:dyDescent="0.25">
      <c r="C476" s="6"/>
      <c r="D476" s="6"/>
      <c r="E476" s="6"/>
      <c r="F476" s="6"/>
    </row>
    <row r="477" spans="3:6" ht="13.2" x14ac:dyDescent="0.25">
      <c r="C477" s="6"/>
      <c r="D477" s="6"/>
      <c r="E477" s="6"/>
      <c r="F477" s="6"/>
    </row>
    <row r="478" spans="3:6" ht="13.2" x14ac:dyDescent="0.25">
      <c r="C478" s="6"/>
      <c r="D478" s="6"/>
      <c r="E478" s="6"/>
      <c r="F478" s="6"/>
    </row>
    <row r="479" spans="3:6" ht="13.2" x14ac:dyDescent="0.25">
      <c r="C479" s="6"/>
      <c r="D479" s="6"/>
      <c r="E479" s="6"/>
      <c r="F479" s="6"/>
    </row>
    <row r="480" spans="3:6" ht="13.2" x14ac:dyDescent="0.25">
      <c r="C480" s="6"/>
      <c r="D480" s="6"/>
      <c r="E480" s="6"/>
      <c r="F480" s="6"/>
    </row>
    <row r="481" spans="3:6" ht="13.2" x14ac:dyDescent="0.25">
      <c r="C481" s="6"/>
      <c r="D481" s="6"/>
      <c r="E481" s="6"/>
      <c r="F481" s="6"/>
    </row>
    <row r="482" spans="3:6" ht="13.2" x14ac:dyDescent="0.25">
      <c r="C482" s="6"/>
      <c r="D482" s="6"/>
      <c r="E482" s="6"/>
      <c r="F482" s="6"/>
    </row>
    <row r="483" spans="3:6" ht="13.2" x14ac:dyDescent="0.25">
      <c r="C483" s="6"/>
      <c r="D483" s="6"/>
      <c r="E483" s="6"/>
      <c r="F483" s="6"/>
    </row>
    <row r="484" spans="3:6" ht="13.2" x14ac:dyDescent="0.25">
      <c r="C484" s="6"/>
      <c r="D484" s="6"/>
      <c r="E484" s="6"/>
      <c r="F484" s="6"/>
    </row>
    <row r="485" spans="3:6" ht="13.2" x14ac:dyDescent="0.25">
      <c r="C485" s="6"/>
      <c r="D485" s="6"/>
      <c r="E485" s="6"/>
      <c r="F485" s="6"/>
    </row>
    <row r="486" spans="3:6" ht="13.2" x14ac:dyDescent="0.25">
      <c r="C486" s="6"/>
      <c r="D486" s="6"/>
      <c r="E486" s="6"/>
      <c r="F486" s="6"/>
    </row>
    <row r="487" spans="3:6" ht="13.2" x14ac:dyDescent="0.25">
      <c r="C487" s="6"/>
      <c r="D487" s="6"/>
      <c r="E487" s="6"/>
      <c r="F487" s="6"/>
    </row>
    <row r="488" spans="3:6" ht="13.2" x14ac:dyDescent="0.25">
      <c r="C488" s="6"/>
      <c r="D488" s="6"/>
      <c r="E488" s="6"/>
      <c r="F488" s="6"/>
    </row>
    <row r="489" spans="3:6" ht="13.2" x14ac:dyDescent="0.25">
      <c r="C489" s="6"/>
      <c r="D489" s="6"/>
      <c r="E489" s="6"/>
      <c r="F489" s="6"/>
    </row>
    <row r="490" spans="3:6" ht="13.2" x14ac:dyDescent="0.25">
      <c r="C490" s="6"/>
      <c r="D490" s="6"/>
      <c r="E490" s="6"/>
      <c r="F490" s="6"/>
    </row>
    <row r="491" spans="3:6" ht="13.2" x14ac:dyDescent="0.25">
      <c r="C491" s="6"/>
      <c r="D491" s="6"/>
      <c r="E491" s="6"/>
      <c r="F491" s="6"/>
    </row>
    <row r="492" spans="3:6" ht="13.2" x14ac:dyDescent="0.25">
      <c r="C492" s="6"/>
      <c r="D492" s="6"/>
      <c r="E492" s="6"/>
      <c r="F492" s="6"/>
    </row>
    <row r="493" spans="3:6" ht="13.2" x14ac:dyDescent="0.25">
      <c r="C493" s="6"/>
      <c r="D493" s="6"/>
      <c r="E493" s="6"/>
      <c r="F493" s="6"/>
    </row>
    <row r="494" spans="3:6" ht="13.2" x14ac:dyDescent="0.25">
      <c r="C494" s="6"/>
      <c r="D494" s="6"/>
      <c r="E494" s="6"/>
      <c r="F494" s="6"/>
    </row>
    <row r="495" spans="3:6" ht="13.2" x14ac:dyDescent="0.25">
      <c r="C495" s="6"/>
      <c r="D495" s="6"/>
      <c r="E495" s="6"/>
      <c r="F495" s="6"/>
    </row>
    <row r="496" spans="3:6" ht="13.2" x14ac:dyDescent="0.25">
      <c r="C496" s="6"/>
      <c r="D496" s="6"/>
      <c r="E496" s="6"/>
      <c r="F496" s="6"/>
    </row>
    <row r="497" spans="3:6" ht="13.2" x14ac:dyDescent="0.25">
      <c r="C497" s="6"/>
      <c r="D497" s="6"/>
      <c r="E497" s="6"/>
      <c r="F497" s="6"/>
    </row>
    <row r="498" spans="3:6" ht="13.2" x14ac:dyDescent="0.25">
      <c r="C498" s="6"/>
      <c r="D498" s="6"/>
      <c r="E498" s="6"/>
      <c r="F498" s="6"/>
    </row>
    <row r="499" spans="3:6" ht="13.2" x14ac:dyDescent="0.25">
      <c r="C499" s="6"/>
      <c r="D499" s="6"/>
      <c r="E499" s="6"/>
      <c r="F499" s="6"/>
    </row>
    <row r="500" spans="3:6" ht="13.2" x14ac:dyDescent="0.25">
      <c r="C500" s="6"/>
      <c r="D500" s="6"/>
      <c r="E500" s="6"/>
      <c r="F500" s="6"/>
    </row>
    <row r="501" spans="3:6" ht="13.2" x14ac:dyDescent="0.25">
      <c r="C501" s="6"/>
      <c r="D501" s="6"/>
      <c r="E501" s="6"/>
      <c r="F501" s="6"/>
    </row>
    <row r="502" spans="3:6" ht="13.2" x14ac:dyDescent="0.25">
      <c r="C502" s="6"/>
      <c r="D502" s="6"/>
      <c r="E502" s="6"/>
      <c r="F502" s="6"/>
    </row>
    <row r="503" spans="3:6" ht="13.2" x14ac:dyDescent="0.25">
      <c r="C503" s="6"/>
      <c r="D503" s="6"/>
      <c r="E503" s="6"/>
      <c r="F503" s="6"/>
    </row>
    <row r="504" spans="3:6" ht="13.2" x14ac:dyDescent="0.25">
      <c r="C504" s="6"/>
      <c r="D504" s="6"/>
      <c r="E504" s="6"/>
      <c r="F504" s="6"/>
    </row>
    <row r="505" spans="3:6" ht="13.2" x14ac:dyDescent="0.25">
      <c r="C505" s="6"/>
      <c r="D505" s="6"/>
      <c r="E505" s="6"/>
      <c r="F505" s="6"/>
    </row>
    <row r="506" spans="3:6" ht="13.2" x14ac:dyDescent="0.25">
      <c r="C506" s="6"/>
      <c r="D506" s="6"/>
      <c r="E506" s="6"/>
      <c r="F506" s="6"/>
    </row>
    <row r="507" spans="3:6" ht="13.2" x14ac:dyDescent="0.25">
      <c r="C507" s="6"/>
      <c r="D507" s="6"/>
      <c r="E507" s="6"/>
      <c r="F507" s="6"/>
    </row>
    <row r="508" spans="3:6" ht="13.2" x14ac:dyDescent="0.25">
      <c r="C508" s="6"/>
      <c r="D508" s="6"/>
      <c r="E508" s="6"/>
      <c r="F508" s="6"/>
    </row>
    <row r="509" spans="3:6" ht="13.2" x14ac:dyDescent="0.25">
      <c r="C509" s="6"/>
      <c r="D509" s="6"/>
      <c r="E509" s="6"/>
      <c r="F509" s="6"/>
    </row>
    <row r="510" spans="3:6" ht="13.2" x14ac:dyDescent="0.25">
      <c r="C510" s="6"/>
      <c r="D510" s="6"/>
      <c r="E510" s="6"/>
      <c r="F510" s="6"/>
    </row>
    <row r="511" spans="3:6" ht="13.2" x14ac:dyDescent="0.25">
      <c r="C511" s="6"/>
      <c r="D511" s="6"/>
      <c r="E511" s="6"/>
      <c r="F511" s="6"/>
    </row>
    <row r="512" spans="3:6" ht="13.2" x14ac:dyDescent="0.25">
      <c r="C512" s="6"/>
      <c r="D512" s="6"/>
      <c r="E512" s="6"/>
      <c r="F512" s="6"/>
    </row>
    <row r="513" spans="3:6" ht="13.2" x14ac:dyDescent="0.25">
      <c r="C513" s="6"/>
      <c r="D513" s="6"/>
      <c r="E513" s="6"/>
      <c r="F513" s="6"/>
    </row>
    <row r="514" spans="3:6" ht="13.2" x14ac:dyDescent="0.25">
      <c r="C514" s="6"/>
      <c r="D514" s="6"/>
      <c r="E514" s="6"/>
      <c r="F514" s="6"/>
    </row>
    <row r="515" spans="3:6" ht="13.2" x14ac:dyDescent="0.25">
      <c r="C515" s="6"/>
      <c r="D515" s="6"/>
      <c r="E515" s="6"/>
      <c r="F515" s="6"/>
    </row>
    <row r="516" spans="3:6" ht="13.2" x14ac:dyDescent="0.25">
      <c r="C516" s="6"/>
      <c r="D516" s="6"/>
      <c r="E516" s="6"/>
      <c r="F516" s="6"/>
    </row>
    <row r="517" spans="3:6" ht="13.2" x14ac:dyDescent="0.25">
      <c r="C517" s="6"/>
      <c r="D517" s="6"/>
      <c r="E517" s="6"/>
      <c r="F517" s="6"/>
    </row>
    <row r="518" spans="3:6" ht="13.2" x14ac:dyDescent="0.25">
      <c r="C518" s="6"/>
      <c r="D518" s="6"/>
      <c r="E518" s="6"/>
      <c r="F518" s="6"/>
    </row>
    <row r="519" spans="3:6" ht="13.2" x14ac:dyDescent="0.25">
      <c r="C519" s="6"/>
      <c r="D519" s="6"/>
      <c r="E519" s="6"/>
      <c r="F519" s="6"/>
    </row>
    <row r="520" spans="3:6" ht="13.2" x14ac:dyDescent="0.25">
      <c r="C520" s="6"/>
      <c r="D520" s="6"/>
      <c r="E520" s="6"/>
      <c r="F520" s="6"/>
    </row>
    <row r="521" spans="3:6" ht="13.2" x14ac:dyDescent="0.25">
      <c r="C521" s="6"/>
      <c r="D521" s="6"/>
      <c r="E521" s="6"/>
      <c r="F521" s="6"/>
    </row>
    <row r="522" spans="3:6" ht="13.2" x14ac:dyDescent="0.25">
      <c r="C522" s="6"/>
      <c r="D522" s="6"/>
      <c r="E522" s="6"/>
      <c r="F522" s="6"/>
    </row>
    <row r="523" spans="3:6" ht="13.2" x14ac:dyDescent="0.25">
      <c r="C523" s="6"/>
      <c r="D523" s="6"/>
      <c r="E523" s="6"/>
      <c r="F523" s="6"/>
    </row>
    <row r="524" spans="3:6" ht="13.2" x14ac:dyDescent="0.25">
      <c r="C524" s="6"/>
      <c r="D524" s="6"/>
      <c r="E524" s="6"/>
      <c r="F524" s="6"/>
    </row>
    <row r="525" spans="3:6" ht="13.2" x14ac:dyDescent="0.25">
      <c r="C525" s="6"/>
      <c r="D525" s="6"/>
      <c r="E525" s="6"/>
      <c r="F525" s="6"/>
    </row>
    <row r="526" spans="3:6" ht="13.2" x14ac:dyDescent="0.25">
      <c r="C526" s="6"/>
      <c r="D526" s="6"/>
      <c r="E526" s="6"/>
      <c r="F526" s="6"/>
    </row>
    <row r="527" spans="3:6" ht="13.2" x14ac:dyDescent="0.25">
      <c r="C527" s="6"/>
      <c r="D527" s="6"/>
      <c r="E527" s="6"/>
      <c r="F527" s="6"/>
    </row>
    <row r="528" spans="3:6" ht="13.2" x14ac:dyDescent="0.25">
      <c r="C528" s="6"/>
      <c r="D528" s="6"/>
      <c r="E528" s="6"/>
      <c r="F528" s="6"/>
    </row>
    <row r="529" spans="3:6" ht="13.2" x14ac:dyDescent="0.25">
      <c r="C529" s="6"/>
      <c r="D529" s="6"/>
      <c r="E529" s="6"/>
      <c r="F529" s="6"/>
    </row>
    <row r="530" spans="3:6" ht="13.2" x14ac:dyDescent="0.25">
      <c r="C530" s="6"/>
      <c r="D530" s="6"/>
      <c r="E530" s="6"/>
      <c r="F530" s="6"/>
    </row>
    <row r="531" spans="3:6" ht="13.2" x14ac:dyDescent="0.25">
      <c r="C531" s="6"/>
      <c r="D531" s="6"/>
      <c r="E531" s="6"/>
      <c r="F531" s="6"/>
    </row>
    <row r="532" spans="3:6" ht="13.2" x14ac:dyDescent="0.25">
      <c r="C532" s="6"/>
      <c r="D532" s="6"/>
      <c r="E532" s="6"/>
      <c r="F532" s="6"/>
    </row>
    <row r="533" spans="3:6" ht="13.2" x14ac:dyDescent="0.25">
      <c r="C533" s="6"/>
      <c r="D533" s="6"/>
      <c r="E533" s="6"/>
      <c r="F533" s="6"/>
    </row>
    <row r="534" spans="3:6" ht="13.2" x14ac:dyDescent="0.25">
      <c r="C534" s="6"/>
      <c r="D534" s="6"/>
      <c r="E534" s="6"/>
      <c r="F534" s="6"/>
    </row>
    <row r="535" spans="3:6" ht="13.2" x14ac:dyDescent="0.25">
      <c r="C535" s="6"/>
      <c r="D535" s="6"/>
      <c r="E535" s="6"/>
      <c r="F535" s="6"/>
    </row>
    <row r="536" spans="3:6" ht="13.2" x14ac:dyDescent="0.25">
      <c r="C536" s="6"/>
      <c r="D536" s="6"/>
      <c r="E536" s="6"/>
      <c r="F536" s="6"/>
    </row>
    <row r="537" spans="3:6" ht="13.2" x14ac:dyDescent="0.25">
      <c r="C537" s="6"/>
      <c r="D537" s="6"/>
      <c r="E537" s="6"/>
      <c r="F537" s="6"/>
    </row>
    <row r="538" spans="3:6" ht="13.2" x14ac:dyDescent="0.25">
      <c r="C538" s="6"/>
      <c r="D538" s="6"/>
      <c r="E538" s="6"/>
      <c r="F538" s="6"/>
    </row>
    <row r="539" spans="3:6" ht="13.2" x14ac:dyDescent="0.25">
      <c r="C539" s="6"/>
      <c r="D539" s="6"/>
      <c r="E539" s="6"/>
      <c r="F539" s="6"/>
    </row>
    <row r="540" spans="3:6" ht="13.2" x14ac:dyDescent="0.25">
      <c r="C540" s="6"/>
      <c r="D540" s="6"/>
      <c r="E540" s="6"/>
      <c r="F540" s="6"/>
    </row>
    <row r="541" spans="3:6" ht="13.2" x14ac:dyDescent="0.25">
      <c r="C541" s="6"/>
      <c r="D541" s="6"/>
      <c r="E541" s="6"/>
      <c r="F541" s="6"/>
    </row>
    <row r="542" spans="3:6" ht="13.2" x14ac:dyDescent="0.25">
      <c r="C542" s="6"/>
      <c r="D542" s="6"/>
      <c r="E542" s="6"/>
      <c r="F542" s="6"/>
    </row>
    <row r="543" spans="3:6" ht="13.2" x14ac:dyDescent="0.25">
      <c r="C543" s="6"/>
      <c r="D543" s="6"/>
      <c r="E543" s="6"/>
      <c r="F543" s="6"/>
    </row>
    <row r="544" spans="3:6" ht="13.2" x14ac:dyDescent="0.25">
      <c r="C544" s="6"/>
      <c r="D544" s="6"/>
      <c r="E544" s="6"/>
      <c r="F544" s="6"/>
    </row>
    <row r="545" spans="3:6" ht="13.2" x14ac:dyDescent="0.25">
      <c r="C545" s="6"/>
      <c r="D545" s="6"/>
      <c r="E545" s="6"/>
      <c r="F545" s="6"/>
    </row>
    <row r="546" spans="3:6" ht="13.2" x14ac:dyDescent="0.25">
      <c r="C546" s="6"/>
      <c r="D546" s="6"/>
      <c r="E546" s="6"/>
      <c r="F546" s="6"/>
    </row>
    <row r="547" spans="3:6" ht="13.2" x14ac:dyDescent="0.25">
      <c r="C547" s="6"/>
      <c r="D547" s="6"/>
      <c r="E547" s="6"/>
      <c r="F547" s="6"/>
    </row>
    <row r="548" spans="3:6" ht="13.2" x14ac:dyDescent="0.25">
      <c r="C548" s="6"/>
      <c r="D548" s="6"/>
      <c r="E548" s="6"/>
      <c r="F548" s="6"/>
    </row>
    <row r="549" spans="3:6" ht="13.2" x14ac:dyDescent="0.25">
      <c r="C549" s="6"/>
      <c r="D549" s="6"/>
      <c r="E549" s="6"/>
      <c r="F549" s="6"/>
    </row>
    <row r="550" spans="3:6" ht="13.2" x14ac:dyDescent="0.25">
      <c r="C550" s="6"/>
      <c r="D550" s="6"/>
      <c r="E550" s="6"/>
      <c r="F550" s="6"/>
    </row>
    <row r="551" spans="3:6" ht="13.2" x14ac:dyDescent="0.25">
      <c r="C551" s="6"/>
      <c r="D551" s="6"/>
      <c r="E551" s="6"/>
      <c r="F551" s="6"/>
    </row>
    <row r="552" spans="3:6" ht="13.2" x14ac:dyDescent="0.25">
      <c r="C552" s="6"/>
      <c r="D552" s="6"/>
      <c r="E552" s="6"/>
      <c r="F552" s="6"/>
    </row>
    <row r="553" spans="3:6" ht="13.2" x14ac:dyDescent="0.25">
      <c r="C553" s="6"/>
      <c r="D553" s="6"/>
      <c r="E553" s="6"/>
      <c r="F553" s="6"/>
    </row>
    <row r="554" spans="3:6" ht="13.2" x14ac:dyDescent="0.25">
      <c r="C554" s="6"/>
      <c r="D554" s="6"/>
      <c r="E554" s="6"/>
      <c r="F554" s="6"/>
    </row>
    <row r="555" spans="3:6" ht="13.2" x14ac:dyDescent="0.25">
      <c r="C555" s="6"/>
      <c r="D555" s="6"/>
      <c r="E555" s="6"/>
      <c r="F555" s="6"/>
    </row>
    <row r="556" spans="3:6" ht="13.2" x14ac:dyDescent="0.25">
      <c r="C556" s="6"/>
      <c r="D556" s="6"/>
      <c r="E556" s="6"/>
      <c r="F556" s="6"/>
    </row>
    <row r="557" spans="3:6" ht="13.2" x14ac:dyDescent="0.25">
      <c r="C557" s="6"/>
      <c r="D557" s="6"/>
      <c r="E557" s="6"/>
      <c r="F557" s="6"/>
    </row>
    <row r="558" spans="3:6" ht="13.2" x14ac:dyDescent="0.25">
      <c r="C558" s="6"/>
      <c r="D558" s="6"/>
      <c r="E558" s="6"/>
      <c r="F558" s="6"/>
    </row>
    <row r="559" spans="3:6" ht="13.2" x14ac:dyDescent="0.25">
      <c r="C559" s="6"/>
      <c r="D559" s="6"/>
      <c r="E559" s="6"/>
      <c r="F559" s="6"/>
    </row>
    <row r="560" spans="3:6" ht="13.2" x14ac:dyDescent="0.25">
      <c r="C560" s="6"/>
      <c r="D560" s="6"/>
      <c r="E560" s="6"/>
      <c r="F560" s="6"/>
    </row>
    <row r="561" spans="3:6" ht="13.2" x14ac:dyDescent="0.25">
      <c r="C561" s="6"/>
      <c r="D561" s="6"/>
      <c r="E561" s="6"/>
      <c r="F561" s="6"/>
    </row>
    <row r="562" spans="3:6" ht="13.2" x14ac:dyDescent="0.25">
      <c r="C562" s="6"/>
      <c r="D562" s="6"/>
      <c r="E562" s="6"/>
      <c r="F562" s="6"/>
    </row>
    <row r="563" spans="3:6" ht="13.2" x14ac:dyDescent="0.25">
      <c r="C563" s="6"/>
      <c r="D563" s="6"/>
      <c r="E563" s="6"/>
      <c r="F563" s="6"/>
    </row>
    <row r="564" spans="3:6" ht="13.2" x14ac:dyDescent="0.25">
      <c r="C564" s="6"/>
      <c r="D564" s="6"/>
      <c r="E564" s="6"/>
      <c r="F564" s="6"/>
    </row>
    <row r="565" spans="3:6" ht="13.2" x14ac:dyDescent="0.25">
      <c r="C565" s="6"/>
      <c r="D565" s="6"/>
      <c r="E565" s="6"/>
      <c r="F565" s="6"/>
    </row>
    <row r="566" spans="3:6" ht="13.2" x14ac:dyDescent="0.25">
      <c r="C566" s="6"/>
      <c r="D566" s="6"/>
      <c r="E566" s="6"/>
      <c r="F566" s="6"/>
    </row>
    <row r="567" spans="3:6" ht="13.2" x14ac:dyDescent="0.25">
      <c r="C567" s="6"/>
      <c r="D567" s="6"/>
      <c r="E567" s="6"/>
      <c r="F567" s="6"/>
    </row>
    <row r="568" spans="3:6" ht="13.2" x14ac:dyDescent="0.25">
      <c r="C568" s="6"/>
      <c r="D568" s="6"/>
      <c r="E568" s="6"/>
      <c r="F568" s="6"/>
    </row>
    <row r="569" spans="3:6" ht="13.2" x14ac:dyDescent="0.25">
      <c r="C569" s="6"/>
      <c r="D569" s="6"/>
      <c r="E569" s="6"/>
      <c r="F569" s="6"/>
    </row>
    <row r="570" spans="3:6" ht="13.2" x14ac:dyDescent="0.25">
      <c r="C570" s="6"/>
      <c r="D570" s="6"/>
      <c r="E570" s="6"/>
      <c r="F570" s="6"/>
    </row>
    <row r="571" spans="3:6" ht="13.2" x14ac:dyDescent="0.25">
      <c r="C571" s="6"/>
      <c r="D571" s="6"/>
      <c r="E571" s="6"/>
      <c r="F571" s="6"/>
    </row>
    <row r="572" spans="3:6" ht="13.2" x14ac:dyDescent="0.25">
      <c r="C572" s="6"/>
      <c r="D572" s="6"/>
      <c r="E572" s="6"/>
      <c r="F572" s="6"/>
    </row>
    <row r="573" spans="3:6" ht="13.2" x14ac:dyDescent="0.25">
      <c r="C573" s="6"/>
      <c r="D573" s="6"/>
      <c r="E573" s="6"/>
      <c r="F573" s="6"/>
    </row>
    <row r="574" spans="3:6" ht="13.2" x14ac:dyDescent="0.25">
      <c r="C574" s="6"/>
      <c r="D574" s="6"/>
      <c r="E574" s="6"/>
      <c r="F574" s="6"/>
    </row>
    <row r="575" spans="3:6" ht="13.2" x14ac:dyDescent="0.25">
      <c r="C575" s="6"/>
      <c r="D575" s="6"/>
      <c r="E575" s="6"/>
      <c r="F575" s="6"/>
    </row>
    <row r="576" spans="3:6" ht="13.2" x14ac:dyDescent="0.25">
      <c r="C576" s="6"/>
      <c r="D576" s="6"/>
      <c r="E576" s="6"/>
      <c r="F576" s="6"/>
    </row>
    <row r="577" spans="3:6" ht="13.2" x14ac:dyDescent="0.25">
      <c r="C577" s="6"/>
      <c r="D577" s="6"/>
      <c r="E577" s="6"/>
      <c r="F577" s="6"/>
    </row>
    <row r="578" spans="3:6" ht="13.2" x14ac:dyDescent="0.25">
      <c r="C578" s="6"/>
      <c r="D578" s="6"/>
      <c r="E578" s="6"/>
      <c r="F578" s="6"/>
    </row>
    <row r="579" spans="3:6" ht="13.2" x14ac:dyDescent="0.25">
      <c r="C579" s="6"/>
      <c r="D579" s="6"/>
      <c r="E579" s="6"/>
      <c r="F579" s="6"/>
    </row>
    <row r="580" spans="3:6" ht="13.2" x14ac:dyDescent="0.25">
      <c r="C580" s="6"/>
      <c r="D580" s="6"/>
      <c r="E580" s="6"/>
      <c r="F580" s="6"/>
    </row>
    <row r="581" spans="3:6" ht="13.2" x14ac:dyDescent="0.25">
      <c r="C581" s="6"/>
      <c r="D581" s="6"/>
      <c r="E581" s="6"/>
      <c r="F581" s="6"/>
    </row>
    <row r="582" spans="3:6" ht="13.2" x14ac:dyDescent="0.25">
      <c r="C582" s="6"/>
      <c r="D582" s="6"/>
      <c r="E582" s="6"/>
      <c r="F582" s="6"/>
    </row>
    <row r="583" spans="3:6" ht="13.2" x14ac:dyDescent="0.25">
      <c r="C583" s="6"/>
      <c r="D583" s="6"/>
      <c r="E583" s="6"/>
      <c r="F583" s="6"/>
    </row>
    <row r="584" spans="3:6" ht="13.2" x14ac:dyDescent="0.25">
      <c r="C584" s="6"/>
      <c r="D584" s="6"/>
      <c r="E584" s="6"/>
      <c r="F584" s="6"/>
    </row>
    <row r="585" spans="3:6" ht="13.2" x14ac:dyDescent="0.25">
      <c r="C585" s="6"/>
      <c r="D585" s="6"/>
      <c r="E585" s="6"/>
      <c r="F585" s="6"/>
    </row>
    <row r="586" spans="3:6" ht="13.2" x14ac:dyDescent="0.25">
      <c r="C586" s="6"/>
      <c r="D586" s="6"/>
      <c r="E586" s="6"/>
      <c r="F586" s="6"/>
    </row>
    <row r="587" spans="3:6" ht="13.2" x14ac:dyDescent="0.25">
      <c r="C587" s="6"/>
      <c r="D587" s="6"/>
      <c r="E587" s="6"/>
      <c r="F587" s="6"/>
    </row>
    <row r="588" spans="3:6" ht="13.2" x14ac:dyDescent="0.25">
      <c r="C588" s="6"/>
      <c r="D588" s="6"/>
      <c r="E588" s="6"/>
      <c r="F588" s="6"/>
    </row>
    <row r="589" spans="3:6" ht="13.2" x14ac:dyDescent="0.25">
      <c r="C589" s="6"/>
      <c r="D589" s="6"/>
      <c r="E589" s="6"/>
      <c r="F589" s="6"/>
    </row>
    <row r="590" spans="3:6" ht="13.2" x14ac:dyDescent="0.25">
      <c r="C590" s="6"/>
      <c r="D590" s="6"/>
      <c r="E590" s="6"/>
      <c r="F590" s="6"/>
    </row>
    <row r="591" spans="3:6" ht="13.2" x14ac:dyDescent="0.25">
      <c r="C591" s="6"/>
      <c r="D591" s="6"/>
      <c r="E591" s="6"/>
      <c r="F591" s="6"/>
    </row>
    <row r="592" spans="3:6" ht="13.2" x14ac:dyDescent="0.25">
      <c r="C592" s="6"/>
      <c r="D592" s="6"/>
      <c r="E592" s="6"/>
      <c r="F592" s="6"/>
    </row>
    <row r="593" spans="3:6" ht="13.2" x14ac:dyDescent="0.25">
      <c r="C593" s="6"/>
      <c r="D593" s="6"/>
      <c r="E593" s="6"/>
      <c r="F593" s="6"/>
    </row>
    <row r="594" spans="3:6" ht="13.2" x14ac:dyDescent="0.25">
      <c r="C594" s="6"/>
      <c r="D594" s="6"/>
      <c r="E594" s="6"/>
      <c r="F594" s="6"/>
    </row>
    <row r="595" spans="3:6" ht="13.2" x14ac:dyDescent="0.25">
      <c r="C595" s="6"/>
      <c r="D595" s="6"/>
      <c r="E595" s="6"/>
      <c r="F595" s="6"/>
    </row>
    <row r="596" spans="3:6" ht="13.2" x14ac:dyDescent="0.25">
      <c r="C596" s="6"/>
      <c r="D596" s="6"/>
      <c r="E596" s="6"/>
      <c r="F596" s="6"/>
    </row>
    <row r="597" spans="3:6" ht="13.2" x14ac:dyDescent="0.25">
      <c r="C597" s="6"/>
      <c r="D597" s="6"/>
      <c r="E597" s="6"/>
      <c r="F597" s="6"/>
    </row>
    <row r="598" spans="3:6" ht="13.2" x14ac:dyDescent="0.25">
      <c r="C598" s="6"/>
      <c r="D598" s="6"/>
      <c r="E598" s="6"/>
      <c r="F598" s="6"/>
    </row>
    <row r="599" spans="3:6" ht="13.2" x14ac:dyDescent="0.25">
      <c r="C599" s="6"/>
      <c r="D599" s="6"/>
      <c r="E599" s="6"/>
      <c r="F599" s="6"/>
    </row>
    <row r="600" spans="3:6" ht="13.2" x14ac:dyDescent="0.25">
      <c r="C600" s="6"/>
      <c r="D600" s="6"/>
      <c r="E600" s="6"/>
      <c r="F600" s="6"/>
    </row>
    <row r="601" spans="3:6" ht="13.2" x14ac:dyDescent="0.25">
      <c r="C601" s="6"/>
      <c r="D601" s="6"/>
      <c r="E601" s="6"/>
      <c r="F601" s="6"/>
    </row>
    <row r="602" spans="3:6" ht="13.2" x14ac:dyDescent="0.25">
      <c r="C602" s="6"/>
      <c r="D602" s="6"/>
      <c r="E602" s="6"/>
      <c r="F602" s="6"/>
    </row>
    <row r="603" spans="3:6" ht="13.2" x14ac:dyDescent="0.25">
      <c r="C603" s="6"/>
      <c r="D603" s="6"/>
      <c r="E603" s="6"/>
      <c r="F603" s="6"/>
    </row>
    <row r="604" spans="3:6" ht="13.2" x14ac:dyDescent="0.25">
      <c r="C604" s="6"/>
      <c r="D604" s="6"/>
      <c r="E604" s="6"/>
      <c r="F604" s="6"/>
    </row>
    <row r="605" spans="3:6" ht="13.2" x14ac:dyDescent="0.25">
      <c r="C605" s="6"/>
      <c r="D605" s="6"/>
      <c r="E605" s="6"/>
      <c r="F605" s="6"/>
    </row>
    <row r="606" spans="3:6" ht="13.2" x14ac:dyDescent="0.25">
      <c r="C606" s="6"/>
      <c r="D606" s="6"/>
      <c r="E606" s="6"/>
      <c r="F606" s="6"/>
    </row>
    <row r="607" spans="3:6" ht="13.2" x14ac:dyDescent="0.25">
      <c r="C607" s="6"/>
      <c r="D607" s="6"/>
      <c r="E607" s="6"/>
      <c r="F607" s="6"/>
    </row>
    <row r="608" spans="3:6" ht="13.2" x14ac:dyDescent="0.25">
      <c r="C608" s="6"/>
      <c r="D608" s="6"/>
      <c r="E608" s="6"/>
      <c r="F608" s="6"/>
    </row>
    <row r="609" spans="3:6" ht="13.2" x14ac:dyDescent="0.25">
      <c r="C609" s="6"/>
      <c r="D609" s="6"/>
      <c r="E609" s="6"/>
      <c r="F609" s="6"/>
    </row>
    <row r="610" spans="3:6" ht="13.2" x14ac:dyDescent="0.25">
      <c r="C610" s="6"/>
      <c r="D610" s="6"/>
      <c r="E610" s="6"/>
      <c r="F610" s="6"/>
    </row>
    <row r="611" spans="3:6" ht="13.2" x14ac:dyDescent="0.25">
      <c r="C611" s="6"/>
      <c r="D611" s="6"/>
      <c r="E611" s="6"/>
      <c r="F611" s="6"/>
    </row>
    <row r="612" spans="3:6" ht="13.2" x14ac:dyDescent="0.25">
      <c r="C612" s="6"/>
      <c r="D612" s="6"/>
      <c r="E612" s="6"/>
      <c r="F612" s="6"/>
    </row>
    <row r="613" spans="3:6" ht="13.2" x14ac:dyDescent="0.25">
      <c r="C613" s="6"/>
      <c r="D613" s="6"/>
      <c r="E613" s="6"/>
      <c r="F613" s="6"/>
    </row>
    <row r="614" spans="3:6" ht="13.2" x14ac:dyDescent="0.25">
      <c r="C614" s="6"/>
      <c r="D614" s="6"/>
      <c r="E614" s="6"/>
      <c r="F614" s="6"/>
    </row>
    <row r="615" spans="3:6" ht="13.2" x14ac:dyDescent="0.25">
      <c r="C615" s="6"/>
      <c r="D615" s="6"/>
      <c r="E615" s="6"/>
      <c r="F615" s="6"/>
    </row>
    <row r="616" spans="3:6" ht="13.2" x14ac:dyDescent="0.25">
      <c r="C616" s="6"/>
      <c r="D616" s="6"/>
      <c r="E616" s="6"/>
      <c r="F616" s="6"/>
    </row>
    <row r="617" spans="3:6" ht="13.2" x14ac:dyDescent="0.25">
      <c r="C617" s="6"/>
      <c r="D617" s="6"/>
      <c r="E617" s="6"/>
      <c r="F617" s="6"/>
    </row>
    <row r="618" spans="3:6" ht="13.2" x14ac:dyDescent="0.25">
      <c r="C618" s="6"/>
      <c r="D618" s="6"/>
      <c r="E618" s="6"/>
      <c r="F618" s="6"/>
    </row>
    <row r="619" spans="3:6" ht="13.2" x14ac:dyDescent="0.25">
      <c r="C619" s="6"/>
      <c r="D619" s="6"/>
      <c r="E619" s="6"/>
      <c r="F619" s="6"/>
    </row>
    <row r="620" spans="3:6" ht="13.2" x14ac:dyDescent="0.25">
      <c r="C620" s="6"/>
      <c r="D620" s="6"/>
      <c r="E620" s="6"/>
      <c r="F620" s="6"/>
    </row>
    <row r="621" spans="3:6" ht="13.2" x14ac:dyDescent="0.25">
      <c r="C621" s="6"/>
      <c r="D621" s="6"/>
      <c r="E621" s="6"/>
      <c r="F621" s="6"/>
    </row>
    <row r="622" spans="3:6" ht="13.2" x14ac:dyDescent="0.25">
      <c r="C622" s="6"/>
      <c r="D622" s="6"/>
      <c r="E622" s="6"/>
      <c r="F622" s="6"/>
    </row>
    <row r="623" spans="3:6" ht="13.2" x14ac:dyDescent="0.25">
      <c r="C623" s="6"/>
      <c r="D623" s="6"/>
      <c r="E623" s="6"/>
      <c r="F623" s="6"/>
    </row>
    <row r="624" spans="3:6" ht="13.2" x14ac:dyDescent="0.25">
      <c r="C624" s="6"/>
      <c r="D624" s="6"/>
      <c r="E624" s="6"/>
      <c r="F624" s="6"/>
    </row>
    <row r="625" spans="3:6" ht="13.2" x14ac:dyDescent="0.25">
      <c r="C625" s="6"/>
      <c r="D625" s="6"/>
      <c r="E625" s="6"/>
      <c r="F625" s="6"/>
    </row>
    <row r="626" spans="3:6" ht="13.2" x14ac:dyDescent="0.25">
      <c r="C626" s="6"/>
      <c r="D626" s="6"/>
      <c r="E626" s="6"/>
      <c r="F626" s="6"/>
    </row>
    <row r="627" spans="3:6" ht="13.2" x14ac:dyDescent="0.25">
      <c r="C627" s="6"/>
      <c r="D627" s="6"/>
      <c r="E627" s="6"/>
      <c r="F627" s="6"/>
    </row>
    <row r="628" spans="3:6" ht="13.2" x14ac:dyDescent="0.25">
      <c r="C628" s="6"/>
      <c r="D628" s="6"/>
      <c r="E628" s="6"/>
      <c r="F628" s="6"/>
    </row>
    <row r="629" spans="3:6" ht="13.2" x14ac:dyDescent="0.25">
      <c r="C629" s="6"/>
      <c r="D629" s="6"/>
      <c r="E629" s="6"/>
      <c r="F629" s="6"/>
    </row>
    <row r="630" spans="3:6" ht="13.2" x14ac:dyDescent="0.25">
      <c r="C630" s="6"/>
      <c r="D630" s="6"/>
      <c r="E630" s="6"/>
      <c r="F630" s="6"/>
    </row>
    <row r="631" spans="3:6" ht="13.2" x14ac:dyDescent="0.25">
      <c r="C631" s="6"/>
      <c r="D631" s="6"/>
      <c r="E631" s="6"/>
      <c r="F631" s="6"/>
    </row>
    <row r="632" spans="3:6" ht="13.2" x14ac:dyDescent="0.25">
      <c r="C632" s="6"/>
      <c r="D632" s="6"/>
      <c r="E632" s="6"/>
      <c r="F632" s="6"/>
    </row>
    <row r="633" spans="3:6" ht="13.2" x14ac:dyDescent="0.25">
      <c r="C633" s="6"/>
      <c r="D633" s="6"/>
      <c r="E633" s="6"/>
      <c r="F633" s="6"/>
    </row>
    <row r="634" spans="3:6" ht="13.2" x14ac:dyDescent="0.25">
      <c r="C634" s="6"/>
      <c r="D634" s="6"/>
      <c r="E634" s="6"/>
      <c r="F634" s="6"/>
    </row>
    <row r="635" spans="3:6" ht="13.2" x14ac:dyDescent="0.25">
      <c r="C635" s="6"/>
      <c r="D635" s="6"/>
      <c r="E635" s="6"/>
      <c r="F635" s="6"/>
    </row>
    <row r="636" spans="3:6" ht="13.2" x14ac:dyDescent="0.25">
      <c r="C636" s="6"/>
      <c r="D636" s="6"/>
      <c r="E636" s="6"/>
      <c r="F636" s="6"/>
    </row>
    <row r="637" spans="3:6" ht="13.2" x14ac:dyDescent="0.25">
      <c r="C637" s="6"/>
      <c r="D637" s="6"/>
      <c r="E637" s="6"/>
      <c r="F637" s="6"/>
    </row>
    <row r="638" spans="3:6" ht="13.2" x14ac:dyDescent="0.25">
      <c r="C638" s="6"/>
      <c r="D638" s="6"/>
      <c r="E638" s="6"/>
      <c r="F638" s="6"/>
    </row>
    <row r="639" spans="3:6" ht="13.2" x14ac:dyDescent="0.25">
      <c r="C639" s="6"/>
      <c r="D639" s="6"/>
      <c r="E639" s="6"/>
      <c r="F639" s="6"/>
    </row>
    <row r="640" spans="3:6" ht="13.2" x14ac:dyDescent="0.25">
      <c r="C640" s="6"/>
      <c r="D640" s="6"/>
      <c r="E640" s="6"/>
      <c r="F640" s="6"/>
    </row>
    <row r="641" spans="3:6" ht="13.2" x14ac:dyDescent="0.25">
      <c r="C641" s="6"/>
      <c r="D641" s="6"/>
      <c r="E641" s="6"/>
      <c r="F641" s="6"/>
    </row>
    <row r="642" spans="3:6" ht="13.2" x14ac:dyDescent="0.25">
      <c r="C642" s="6"/>
      <c r="D642" s="6"/>
      <c r="E642" s="6"/>
      <c r="F642" s="6"/>
    </row>
    <row r="643" spans="3:6" ht="13.2" x14ac:dyDescent="0.25">
      <c r="C643" s="6"/>
      <c r="D643" s="6"/>
      <c r="E643" s="6"/>
      <c r="F643" s="6"/>
    </row>
    <row r="644" spans="3:6" ht="13.2" x14ac:dyDescent="0.25">
      <c r="C644" s="6"/>
      <c r="D644" s="6"/>
      <c r="E644" s="6"/>
      <c r="F644" s="6"/>
    </row>
    <row r="645" spans="3:6" ht="13.2" x14ac:dyDescent="0.25">
      <c r="C645" s="6"/>
      <c r="D645" s="6"/>
      <c r="E645" s="6"/>
      <c r="F645" s="6"/>
    </row>
    <row r="646" spans="3:6" ht="13.2" x14ac:dyDescent="0.25">
      <c r="C646" s="6"/>
      <c r="D646" s="6"/>
      <c r="E646" s="6"/>
      <c r="F646" s="6"/>
    </row>
    <row r="647" spans="3:6" ht="13.2" x14ac:dyDescent="0.25">
      <c r="C647" s="6"/>
      <c r="D647" s="6"/>
      <c r="E647" s="6"/>
      <c r="F647" s="6"/>
    </row>
    <row r="648" spans="3:6" ht="13.2" x14ac:dyDescent="0.25">
      <c r="C648" s="6"/>
      <c r="D648" s="6"/>
      <c r="E648" s="6"/>
      <c r="F648" s="6"/>
    </row>
    <row r="649" spans="3:6" ht="13.2" x14ac:dyDescent="0.25">
      <c r="C649" s="6"/>
      <c r="D649" s="6"/>
      <c r="E649" s="6"/>
      <c r="F649" s="6"/>
    </row>
    <row r="650" spans="3:6" ht="13.2" x14ac:dyDescent="0.25">
      <c r="C650" s="6"/>
      <c r="D650" s="6"/>
      <c r="E650" s="6"/>
      <c r="F650" s="6"/>
    </row>
    <row r="651" spans="3:6" ht="13.2" x14ac:dyDescent="0.25">
      <c r="C651" s="6"/>
      <c r="D651" s="6"/>
      <c r="E651" s="6"/>
      <c r="F651" s="6"/>
    </row>
    <row r="652" spans="3:6" ht="13.2" x14ac:dyDescent="0.25">
      <c r="C652" s="6"/>
      <c r="D652" s="6"/>
      <c r="E652" s="6"/>
      <c r="F652" s="6"/>
    </row>
    <row r="653" spans="3:6" ht="13.2" x14ac:dyDescent="0.25">
      <c r="C653" s="6"/>
      <c r="D653" s="6"/>
      <c r="E653" s="6"/>
      <c r="F653" s="6"/>
    </row>
    <row r="654" spans="3:6" ht="13.2" x14ac:dyDescent="0.25">
      <c r="C654" s="6"/>
      <c r="D654" s="6"/>
      <c r="E654" s="6"/>
      <c r="F654" s="6"/>
    </row>
    <row r="655" spans="3:6" ht="13.2" x14ac:dyDescent="0.25">
      <c r="C655" s="6"/>
      <c r="D655" s="6"/>
      <c r="E655" s="6"/>
      <c r="F655" s="6"/>
    </row>
    <row r="656" spans="3:6" ht="13.2" x14ac:dyDescent="0.25">
      <c r="C656" s="6"/>
      <c r="D656" s="6"/>
      <c r="E656" s="6"/>
      <c r="F656" s="6"/>
    </row>
    <row r="657" spans="3:6" ht="13.2" x14ac:dyDescent="0.25">
      <c r="C657" s="6"/>
      <c r="D657" s="6"/>
      <c r="E657" s="6"/>
      <c r="F657" s="6"/>
    </row>
    <row r="658" spans="3:6" ht="13.2" x14ac:dyDescent="0.25">
      <c r="C658" s="6"/>
      <c r="D658" s="6"/>
      <c r="E658" s="6"/>
      <c r="F658" s="6"/>
    </row>
    <row r="659" spans="3:6" ht="13.2" x14ac:dyDescent="0.25">
      <c r="C659" s="6"/>
      <c r="D659" s="6"/>
      <c r="E659" s="6"/>
      <c r="F659" s="6"/>
    </row>
    <row r="660" spans="3:6" ht="13.2" x14ac:dyDescent="0.25">
      <c r="C660" s="6"/>
      <c r="D660" s="6"/>
      <c r="E660" s="6"/>
      <c r="F660" s="6"/>
    </row>
    <row r="661" spans="3:6" ht="13.2" x14ac:dyDescent="0.25">
      <c r="C661" s="6"/>
      <c r="D661" s="6"/>
      <c r="E661" s="6"/>
      <c r="F661" s="6"/>
    </row>
    <row r="662" spans="3:6" ht="13.2" x14ac:dyDescent="0.25">
      <c r="C662" s="6"/>
      <c r="D662" s="6"/>
      <c r="E662" s="6"/>
      <c r="F662" s="6"/>
    </row>
    <row r="663" spans="3:6" ht="13.2" x14ac:dyDescent="0.25">
      <c r="C663" s="6"/>
      <c r="D663" s="6"/>
      <c r="E663" s="6"/>
      <c r="F663" s="6"/>
    </row>
    <row r="664" spans="3:6" ht="13.2" x14ac:dyDescent="0.25">
      <c r="C664" s="6"/>
      <c r="D664" s="6"/>
      <c r="E664" s="6"/>
      <c r="F664" s="6"/>
    </row>
    <row r="665" spans="3:6" ht="13.2" x14ac:dyDescent="0.25">
      <c r="C665" s="6"/>
      <c r="D665" s="6"/>
      <c r="E665" s="6"/>
      <c r="F665" s="6"/>
    </row>
    <row r="666" spans="3:6" ht="13.2" x14ac:dyDescent="0.25">
      <c r="C666" s="6"/>
      <c r="D666" s="6"/>
      <c r="E666" s="6"/>
      <c r="F666" s="6"/>
    </row>
    <row r="667" spans="3:6" ht="13.2" x14ac:dyDescent="0.25">
      <c r="C667" s="6"/>
      <c r="D667" s="6"/>
      <c r="E667" s="6"/>
      <c r="F667" s="6"/>
    </row>
    <row r="668" spans="3:6" ht="13.2" x14ac:dyDescent="0.25">
      <c r="C668" s="6"/>
      <c r="D668" s="6"/>
      <c r="E668" s="6"/>
      <c r="F668" s="6"/>
    </row>
    <row r="669" spans="3:6" ht="13.2" x14ac:dyDescent="0.25">
      <c r="C669" s="6"/>
      <c r="D669" s="6"/>
      <c r="E669" s="6"/>
      <c r="F669" s="6"/>
    </row>
    <row r="670" spans="3:6" ht="13.2" x14ac:dyDescent="0.25">
      <c r="C670" s="6"/>
      <c r="D670" s="6"/>
      <c r="E670" s="6"/>
      <c r="F670" s="6"/>
    </row>
    <row r="671" spans="3:6" ht="13.2" x14ac:dyDescent="0.25">
      <c r="C671" s="6"/>
      <c r="D671" s="6"/>
      <c r="E671" s="6"/>
      <c r="F671" s="6"/>
    </row>
    <row r="672" spans="3:6" ht="13.2" x14ac:dyDescent="0.25">
      <c r="C672" s="6"/>
      <c r="D672" s="6"/>
      <c r="E672" s="6"/>
      <c r="F672" s="6"/>
    </row>
    <row r="673" spans="3:6" ht="13.2" x14ac:dyDescent="0.25">
      <c r="C673" s="6"/>
      <c r="D673" s="6"/>
      <c r="E673" s="6"/>
      <c r="F673" s="6"/>
    </row>
    <row r="674" spans="3:6" ht="13.2" x14ac:dyDescent="0.25">
      <c r="C674" s="6"/>
      <c r="D674" s="6"/>
      <c r="E674" s="6"/>
      <c r="F674" s="6"/>
    </row>
    <row r="675" spans="3:6" ht="13.2" x14ac:dyDescent="0.25">
      <c r="C675" s="6"/>
      <c r="D675" s="6"/>
      <c r="E675" s="6"/>
      <c r="F675" s="6"/>
    </row>
    <row r="676" spans="3:6" ht="13.2" x14ac:dyDescent="0.25">
      <c r="C676" s="6"/>
      <c r="D676" s="6"/>
      <c r="E676" s="6"/>
      <c r="F676" s="6"/>
    </row>
    <row r="677" spans="3:6" ht="13.2" x14ac:dyDescent="0.25">
      <c r="C677" s="6"/>
      <c r="D677" s="6"/>
      <c r="E677" s="6"/>
      <c r="F677" s="6"/>
    </row>
    <row r="678" spans="3:6" ht="13.2" x14ac:dyDescent="0.25">
      <c r="C678" s="6"/>
      <c r="D678" s="6"/>
      <c r="E678" s="6"/>
      <c r="F678" s="6"/>
    </row>
    <row r="679" spans="3:6" ht="13.2" x14ac:dyDescent="0.25">
      <c r="C679" s="6"/>
      <c r="D679" s="6"/>
      <c r="E679" s="6"/>
      <c r="F679" s="6"/>
    </row>
    <row r="680" spans="3:6" ht="13.2" x14ac:dyDescent="0.25">
      <c r="C680" s="6"/>
      <c r="D680" s="6"/>
      <c r="E680" s="6"/>
      <c r="F680" s="6"/>
    </row>
    <row r="681" spans="3:6" ht="13.2" x14ac:dyDescent="0.25">
      <c r="C681" s="6"/>
      <c r="D681" s="6"/>
      <c r="E681" s="6"/>
      <c r="F681" s="6"/>
    </row>
    <row r="682" spans="3:6" ht="13.2" x14ac:dyDescent="0.25">
      <c r="C682" s="6"/>
      <c r="D682" s="6"/>
      <c r="E682" s="6"/>
      <c r="F682" s="6"/>
    </row>
    <row r="683" spans="3:6" ht="13.2" x14ac:dyDescent="0.25">
      <c r="C683" s="6"/>
      <c r="D683" s="6"/>
      <c r="E683" s="6"/>
      <c r="F683" s="6"/>
    </row>
    <row r="684" spans="3:6" ht="13.2" x14ac:dyDescent="0.25">
      <c r="C684" s="6"/>
      <c r="D684" s="6"/>
      <c r="E684" s="6"/>
      <c r="F684" s="6"/>
    </row>
    <row r="685" spans="3:6" ht="13.2" x14ac:dyDescent="0.25">
      <c r="C685" s="6"/>
      <c r="D685" s="6"/>
      <c r="E685" s="6"/>
      <c r="F685" s="6"/>
    </row>
    <row r="686" spans="3:6" ht="13.2" x14ac:dyDescent="0.25">
      <c r="C686" s="6"/>
      <c r="D686" s="6"/>
      <c r="E686" s="6"/>
      <c r="F686" s="6"/>
    </row>
    <row r="687" spans="3:6" ht="13.2" x14ac:dyDescent="0.25">
      <c r="C687" s="6"/>
      <c r="D687" s="6"/>
      <c r="E687" s="6"/>
      <c r="F687" s="6"/>
    </row>
    <row r="688" spans="3:6" ht="13.2" x14ac:dyDescent="0.25">
      <c r="C688" s="6"/>
      <c r="D688" s="6"/>
      <c r="E688" s="6"/>
      <c r="F688" s="6"/>
    </row>
    <row r="689" spans="3:6" ht="13.2" x14ac:dyDescent="0.25">
      <c r="C689" s="6"/>
      <c r="D689" s="6"/>
      <c r="E689" s="6"/>
      <c r="F689" s="6"/>
    </row>
    <row r="690" spans="3:6" ht="13.2" x14ac:dyDescent="0.25">
      <c r="C690" s="6"/>
      <c r="D690" s="6"/>
      <c r="E690" s="6"/>
      <c r="F690" s="6"/>
    </row>
    <row r="691" spans="3:6" ht="13.2" x14ac:dyDescent="0.25">
      <c r="C691" s="6"/>
      <c r="D691" s="6"/>
      <c r="E691" s="6"/>
      <c r="F691" s="6"/>
    </row>
    <row r="692" spans="3:6" ht="13.2" x14ac:dyDescent="0.25">
      <c r="C692" s="6"/>
      <c r="D692" s="6"/>
      <c r="E692" s="6"/>
      <c r="F692" s="6"/>
    </row>
    <row r="693" spans="3:6" ht="13.2" x14ac:dyDescent="0.25">
      <c r="C693" s="6"/>
      <c r="D693" s="6"/>
      <c r="E693" s="6"/>
      <c r="F693" s="6"/>
    </row>
    <row r="694" spans="3:6" ht="13.2" x14ac:dyDescent="0.25">
      <c r="C694" s="6"/>
      <c r="D694" s="6"/>
      <c r="E694" s="6"/>
      <c r="F694" s="6"/>
    </row>
    <row r="695" spans="3:6" ht="13.2" x14ac:dyDescent="0.25">
      <c r="C695" s="6"/>
      <c r="D695" s="6"/>
      <c r="E695" s="6"/>
      <c r="F695" s="6"/>
    </row>
    <row r="696" spans="3:6" ht="13.2" x14ac:dyDescent="0.25">
      <c r="C696" s="6"/>
      <c r="D696" s="6"/>
      <c r="E696" s="6"/>
      <c r="F696" s="6"/>
    </row>
    <row r="697" spans="3:6" ht="13.2" x14ac:dyDescent="0.25">
      <c r="C697" s="6"/>
      <c r="D697" s="6"/>
      <c r="E697" s="6"/>
      <c r="F697" s="6"/>
    </row>
    <row r="698" spans="3:6" ht="13.2" x14ac:dyDescent="0.25">
      <c r="C698" s="6"/>
      <c r="D698" s="6"/>
      <c r="E698" s="6"/>
      <c r="F698" s="6"/>
    </row>
    <row r="699" spans="3:6" ht="13.2" x14ac:dyDescent="0.25">
      <c r="C699" s="6"/>
      <c r="D699" s="6"/>
      <c r="E699" s="6"/>
      <c r="F699" s="6"/>
    </row>
    <row r="700" spans="3:6" ht="13.2" x14ac:dyDescent="0.25">
      <c r="C700" s="6"/>
      <c r="D700" s="6"/>
      <c r="E700" s="6"/>
      <c r="F700" s="6"/>
    </row>
    <row r="701" spans="3:6" ht="13.2" x14ac:dyDescent="0.25">
      <c r="C701" s="6"/>
      <c r="D701" s="6"/>
      <c r="E701" s="6"/>
      <c r="F701" s="6"/>
    </row>
    <row r="702" spans="3:6" ht="13.2" x14ac:dyDescent="0.25">
      <c r="C702" s="6"/>
      <c r="D702" s="6"/>
      <c r="E702" s="6"/>
      <c r="F702" s="6"/>
    </row>
    <row r="703" spans="3:6" ht="13.2" x14ac:dyDescent="0.25">
      <c r="C703" s="6"/>
      <c r="D703" s="6"/>
      <c r="E703" s="6"/>
      <c r="F703" s="6"/>
    </row>
    <row r="704" spans="3:6" ht="13.2" x14ac:dyDescent="0.25">
      <c r="C704" s="6"/>
      <c r="D704" s="6"/>
      <c r="E704" s="6"/>
      <c r="F704" s="6"/>
    </row>
    <row r="705" spans="3:6" ht="13.2" x14ac:dyDescent="0.25">
      <c r="C705" s="6"/>
      <c r="D705" s="6"/>
      <c r="E705" s="6"/>
      <c r="F705" s="6"/>
    </row>
    <row r="706" spans="3:6" ht="13.2" x14ac:dyDescent="0.25">
      <c r="C706" s="6"/>
      <c r="D706" s="6"/>
      <c r="E706" s="6"/>
      <c r="F706" s="6"/>
    </row>
    <row r="707" spans="3:6" ht="13.2" x14ac:dyDescent="0.25">
      <c r="C707" s="6"/>
      <c r="D707" s="6"/>
      <c r="E707" s="6"/>
      <c r="F707" s="6"/>
    </row>
    <row r="708" spans="3:6" ht="13.2" x14ac:dyDescent="0.25">
      <c r="C708" s="6"/>
      <c r="D708" s="6"/>
      <c r="E708" s="6"/>
      <c r="F708" s="6"/>
    </row>
    <row r="709" spans="3:6" ht="13.2" x14ac:dyDescent="0.25">
      <c r="C709" s="6"/>
      <c r="D709" s="6"/>
      <c r="E709" s="6"/>
      <c r="F709" s="6"/>
    </row>
    <row r="710" spans="3:6" ht="13.2" x14ac:dyDescent="0.25">
      <c r="C710" s="6"/>
      <c r="D710" s="6"/>
      <c r="E710" s="6"/>
      <c r="F710" s="6"/>
    </row>
    <row r="711" spans="3:6" ht="13.2" x14ac:dyDescent="0.25">
      <c r="C711" s="6"/>
      <c r="D711" s="6"/>
      <c r="E711" s="6"/>
      <c r="F711" s="6"/>
    </row>
    <row r="712" spans="3:6" ht="13.2" x14ac:dyDescent="0.25">
      <c r="C712" s="6"/>
      <c r="D712" s="6"/>
      <c r="E712" s="6"/>
      <c r="F712" s="6"/>
    </row>
    <row r="713" spans="3:6" ht="13.2" x14ac:dyDescent="0.25">
      <c r="C713" s="6"/>
      <c r="D713" s="6"/>
      <c r="E713" s="6"/>
      <c r="F713" s="6"/>
    </row>
    <row r="714" spans="3:6" ht="13.2" x14ac:dyDescent="0.25">
      <c r="C714" s="6"/>
      <c r="D714" s="6"/>
      <c r="E714" s="6"/>
      <c r="F714" s="6"/>
    </row>
    <row r="715" spans="3:6" ht="13.2" x14ac:dyDescent="0.25">
      <c r="C715" s="6"/>
      <c r="D715" s="6"/>
      <c r="E715" s="6"/>
      <c r="F715" s="6"/>
    </row>
    <row r="716" spans="3:6" ht="13.2" x14ac:dyDescent="0.25">
      <c r="C716" s="6"/>
      <c r="D716" s="6"/>
      <c r="E716" s="6"/>
      <c r="F716" s="6"/>
    </row>
    <row r="717" spans="3:6" ht="13.2" x14ac:dyDescent="0.25">
      <c r="C717" s="6"/>
      <c r="D717" s="6"/>
      <c r="E717" s="6"/>
      <c r="F717" s="6"/>
    </row>
    <row r="718" spans="3:6" ht="13.2" x14ac:dyDescent="0.25">
      <c r="C718" s="6"/>
      <c r="D718" s="6"/>
      <c r="E718" s="6"/>
      <c r="F718" s="6"/>
    </row>
    <row r="719" spans="3:6" ht="13.2" x14ac:dyDescent="0.25">
      <c r="C719" s="6"/>
      <c r="D719" s="6"/>
      <c r="E719" s="6"/>
      <c r="F719" s="6"/>
    </row>
    <row r="720" spans="3:6" ht="13.2" x14ac:dyDescent="0.25">
      <c r="C720" s="6"/>
      <c r="D720" s="6"/>
      <c r="E720" s="6"/>
      <c r="F720" s="6"/>
    </row>
    <row r="721" spans="3:6" ht="13.2" x14ac:dyDescent="0.25">
      <c r="C721" s="6"/>
      <c r="D721" s="6"/>
      <c r="E721" s="6"/>
      <c r="F721" s="6"/>
    </row>
    <row r="722" spans="3:6" ht="13.2" x14ac:dyDescent="0.25">
      <c r="C722" s="6"/>
      <c r="D722" s="6"/>
      <c r="E722" s="6"/>
      <c r="F722" s="6"/>
    </row>
    <row r="723" spans="3:6" ht="13.2" x14ac:dyDescent="0.25">
      <c r="C723" s="6"/>
      <c r="D723" s="6"/>
      <c r="E723" s="6"/>
      <c r="F723" s="6"/>
    </row>
    <row r="724" spans="3:6" ht="13.2" x14ac:dyDescent="0.25">
      <c r="C724" s="6"/>
      <c r="D724" s="6"/>
      <c r="E724" s="6"/>
      <c r="F724" s="6"/>
    </row>
    <row r="725" spans="3:6" ht="13.2" x14ac:dyDescent="0.25">
      <c r="C725" s="6"/>
      <c r="D725" s="6"/>
      <c r="E725" s="6"/>
      <c r="F725" s="6"/>
    </row>
    <row r="726" spans="3:6" ht="13.2" x14ac:dyDescent="0.25">
      <c r="C726" s="6"/>
      <c r="D726" s="6"/>
      <c r="E726" s="6"/>
      <c r="F726" s="6"/>
    </row>
    <row r="727" spans="3:6" ht="13.2" x14ac:dyDescent="0.25">
      <c r="C727" s="6"/>
      <c r="D727" s="6"/>
      <c r="E727" s="6"/>
      <c r="F727" s="6"/>
    </row>
    <row r="728" spans="3:6" ht="13.2" x14ac:dyDescent="0.25">
      <c r="C728" s="6"/>
      <c r="D728" s="6"/>
      <c r="E728" s="6"/>
      <c r="F728" s="6"/>
    </row>
    <row r="729" spans="3:6" ht="13.2" x14ac:dyDescent="0.25">
      <c r="C729" s="6"/>
      <c r="D729" s="6"/>
      <c r="E729" s="6"/>
      <c r="F729" s="6"/>
    </row>
    <row r="730" spans="3:6" ht="13.2" x14ac:dyDescent="0.25">
      <c r="C730" s="6"/>
      <c r="D730" s="6"/>
      <c r="E730" s="6"/>
      <c r="F730" s="6"/>
    </row>
    <row r="731" spans="3:6" ht="13.2" x14ac:dyDescent="0.25">
      <c r="C731" s="6"/>
      <c r="D731" s="6"/>
      <c r="E731" s="6"/>
      <c r="F731" s="6"/>
    </row>
    <row r="732" spans="3:6" ht="13.2" x14ac:dyDescent="0.25">
      <c r="C732" s="6"/>
      <c r="D732" s="6"/>
      <c r="E732" s="6"/>
      <c r="F732" s="6"/>
    </row>
    <row r="733" spans="3:6" ht="13.2" x14ac:dyDescent="0.25">
      <c r="C733" s="6"/>
      <c r="D733" s="6"/>
      <c r="E733" s="6"/>
      <c r="F733" s="6"/>
    </row>
    <row r="734" spans="3:6" ht="13.2" x14ac:dyDescent="0.25">
      <c r="C734" s="6"/>
      <c r="D734" s="6"/>
      <c r="E734" s="6"/>
      <c r="F734" s="6"/>
    </row>
    <row r="735" spans="3:6" ht="13.2" x14ac:dyDescent="0.25">
      <c r="C735" s="6"/>
      <c r="D735" s="6"/>
      <c r="E735" s="6"/>
      <c r="F735" s="6"/>
    </row>
    <row r="736" spans="3:6" ht="13.2" x14ac:dyDescent="0.25">
      <c r="C736" s="6"/>
      <c r="D736" s="6"/>
      <c r="E736" s="6"/>
      <c r="F736" s="6"/>
    </row>
    <row r="737" spans="3:6" ht="13.2" x14ac:dyDescent="0.25">
      <c r="C737" s="6"/>
      <c r="D737" s="6"/>
      <c r="E737" s="6"/>
      <c r="F737" s="6"/>
    </row>
    <row r="738" spans="3:6" ht="13.2" x14ac:dyDescent="0.25">
      <c r="C738" s="6"/>
      <c r="D738" s="6"/>
      <c r="E738" s="6"/>
      <c r="F738" s="6"/>
    </row>
    <row r="739" spans="3:6" ht="13.2" x14ac:dyDescent="0.25">
      <c r="C739" s="6"/>
      <c r="D739" s="6"/>
      <c r="E739" s="6"/>
      <c r="F739" s="6"/>
    </row>
    <row r="740" spans="3:6" ht="13.2" x14ac:dyDescent="0.25">
      <c r="C740" s="6"/>
      <c r="D740" s="6"/>
      <c r="E740" s="6"/>
      <c r="F740" s="6"/>
    </row>
    <row r="741" spans="3:6" ht="13.2" x14ac:dyDescent="0.25">
      <c r="C741" s="6"/>
      <c r="D741" s="6"/>
      <c r="E741" s="6"/>
      <c r="F741" s="6"/>
    </row>
    <row r="742" spans="3:6" ht="13.2" x14ac:dyDescent="0.25">
      <c r="C742" s="6"/>
      <c r="D742" s="6"/>
      <c r="E742" s="6"/>
      <c r="F742" s="6"/>
    </row>
    <row r="743" spans="3:6" ht="13.2" x14ac:dyDescent="0.25">
      <c r="C743" s="6"/>
      <c r="D743" s="6"/>
      <c r="E743" s="6"/>
      <c r="F743" s="6"/>
    </row>
    <row r="744" spans="3:6" ht="13.2" x14ac:dyDescent="0.25">
      <c r="C744" s="6"/>
      <c r="D744" s="6"/>
      <c r="E744" s="6"/>
      <c r="F744" s="6"/>
    </row>
    <row r="745" spans="3:6" ht="13.2" x14ac:dyDescent="0.25">
      <c r="C745" s="6"/>
      <c r="D745" s="6"/>
      <c r="E745" s="6"/>
      <c r="F745" s="6"/>
    </row>
    <row r="746" spans="3:6" ht="13.2" x14ac:dyDescent="0.25">
      <c r="C746" s="6"/>
      <c r="D746" s="6"/>
      <c r="E746" s="6"/>
      <c r="F746" s="6"/>
    </row>
    <row r="747" spans="3:6" ht="13.2" x14ac:dyDescent="0.25">
      <c r="C747" s="6"/>
      <c r="D747" s="6"/>
      <c r="E747" s="6"/>
      <c r="F747" s="6"/>
    </row>
    <row r="748" spans="3:6" ht="13.2" x14ac:dyDescent="0.25">
      <c r="C748" s="6"/>
      <c r="D748" s="6"/>
      <c r="E748" s="6"/>
      <c r="F748" s="6"/>
    </row>
    <row r="749" spans="3:6" ht="13.2" x14ac:dyDescent="0.25">
      <c r="C749" s="6"/>
      <c r="D749" s="6"/>
      <c r="E749" s="6"/>
      <c r="F749" s="6"/>
    </row>
    <row r="750" spans="3:6" ht="13.2" x14ac:dyDescent="0.25">
      <c r="C750" s="6"/>
      <c r="D750" s="6"/>
      <c r="E750" s="6"/>
      <c r="F750" s="6"/>
    </row>
    <row r="751" spans="3:6" ht="13.2" x14ac:dyDescent="0.25">
      <c r="C751" s="6"/>
      <c r="D751" s="6"/>
      <c r="E751" s="6"/>
      <c r="F751" s="6"/>
    </row>
    <row r="752" spans="3:6" ht="13.2" x14ac:dyDescent="0.25">
      <c r="C752" s="6"/>
      <c r="D752" s="6"/>
      <c r="E752" s="6"/>
      <c r="F752" s="6"/>
    </row>
    <row r="753" spans="3:6" ht="13.2" x14ac:dyDescent="0.25">
      <c r="C753" s="6"/>
      <c r="D753" s="6"/>
      <c r="E753" s="6"/>
      <c r="F753" s="6"/>
    </row>
    <row r="754" spans="3:6" ht="13.2" x14ac:dyDescent="0.25">
      <c r="C754" s="6"/>
      <c r="D754" s="6"/>
      <c r="E754" s="6"/>
      <c r="F754" s="6"/>
    </row>
    <row r="755" spans="3:6" ht="13.2" x14ac:dyDescent="0.25">
      <c r="C755" s="6"/>
      <c r="D755" s="6"/>
      <c r="E755" s="6"/>
      <c r="F755" s="6"/>
    </row>
    <row r="756" spans="3:6" ht="13.2" x14ac:dyDescent="0.25">
      <c r="C756" s="6"/>
      <c r="D756" s="6"/>
      <c r="E756" s="6"/>
      <c r="F756" s="6"/>
    </row>
    <row r="757" spans="3:6" ht="13.2" x14ac:dyDescent="0.25">
      <c r="C757" s="6"/>
      <c r="D757" s="6"/>
      <c r="E757" s="6"/>
      <c r="F757" s="6"/>
    </row>
    <row r="758" spans="3:6" ht="13.2" x14ac:dyDescent="0.25">
      <c r="C758" s="6"/>
      <c r="D758" s="6"/>
      <c r="E758" s="6"/>
      <c r="F758" s="6"/>
    </row>
    <row r="759" spans="3:6" ht="13.2" x14ac:dyDescent="0.25">
      <c r="C759" s="6"/>
      <c r="D759" s="6"/>
      <c r="E759" s="6"/>
      <c r="F759" s="6"/>
    </row>
    <row r="760" spans="3:6" ht="13.2" x14ac:dyDescent="0.25">
      <c r="C760" s="6"/>
      <c r="D760" s="6"/>
      <c r="E760" s="6"/>
      <c r="F760" s="6"/>
    </row>
    <row r="761" spans="3:6" ht="13.2" x14ac:dyDescent="0.25">
      <c r="C761" s="6"/>
      <c r="D761" s="6"/>
      <c r="E761" s="6"/>
      <c r="F761" s="6"/>
    </row>
    <row r="762" spans="3:6" ht="13.2" x14ac:dyDescent="0.25">
      <c r="C762" s="6"/>
      <c r="D762" s="6"/>
      <c r="E762" s="6"/>
      <c r="F762" s="6"/>
    </row>
    <row r="763" spans="3:6" ht="13.2" x14ac:dyDescent="0.25">
      <c r="C763" s="6"/>
      <c r="D763" s="6"/>
      <c r="E763" s="6"/>
      <c r="F763" s="6"/>
    </row>
    <row r="764" spans="3:6" ht="13.2" x14ac:dyDescent="0.25">
      <c r="C764" s="6"/>
      <c r="D764" s="6"/>
      <c r="E764" s="6"/>
      <c r="F764" s="6"/>
    </row>
    <row r="765" spans="3:6" ht="13.2" x14ac:dyDescent="0.25">
      <c r="C765" s="6"/>
      <c r="D765" s="6"/>
      <c r="E765" s="6"/>
      <c r="F765" s="6"/>
    </row>
    <row r="766" spans="3:6" ht="13.2" x14ac:dyDescent="0.25">
      <c r="C766" s="6"/>
      <c r="D766" s="6"/>
      <c r="E766" s="6"/>
      <c r="F766" s="6"/>
    </row>
    <row r="767" spans="3:6" ht="13.2" x14ac:dyDescent="0.25">
      <c r="C767" s="6"/>
      <c r="D767" s="6"/>
      <c r="E767" s="6"/>
      <c r="F767" s="6"/>
    </row>
    <row r="768" spans="3:6" ht="13.2" x14ac:dyDescent="0.25">
      <c r="C768" s="6"/>
      <c r="D768" s="6"/>
      <c r="E768" s="6"/>
      <c r="F768" s="6"/>
    </row>
    <row r="769" spans="3:6" ht="13.2" x14ac:dyDescent="0.25">
      <c r="C769" s="6"/>
      <c r="D769" s="6"/>
      <c r="E769" s="6"/>
      <c r="F769" s="6"/>
    </row>
    <row r="770" spans="3:6" ht="13.2" x14ac:dyDescent="0.25">
      <c r="C770" s="6"/>
      <c r="D770" s="6"/>
      <c r="E770" s="6"/>
      <c r="F770" s="6"/>
    </row>
    <row r="771" spans="3:6" ht="13.2" x14ac:dyDescent="0.25">
      <c r="C771" s="6"/>
      <c r="D771" s="6"/>
      <c r="E771" s="6"/>
      <c r="F771" s="6"/>
    </row>
    <row r="772" spans="3:6" ht="13.2" x14ac:dyDescent="0.25">
      <c r="C772" s="6"/>
      <c r="D772" s="6"/>
      <c r="E772" s="6"/>
      <c r="F772" s="6"/>
    </row>
    <row r="773" spans="3:6" ht="13.2" x14ac:dyDescent="0.25">
      <c r="C773" s="6"/>
      <c r="D773" s="6"/>
      <c r="E773" s="6"/>
      <c r="F773" s="6"/>
    </row>
    <row r="774" spans="3:6" ht="13.2" x14ac:dyDescent="0.25">
      <c r="C774" s="6"/>
      <c r="D774" s="6"/>
      <c r="E774" s="6"/>
      <c r="F774" s="6"/>
    </row>
    <row r="775" spans="3:6" ht="13.2" x14ac:dyDescent="0.25">
      <c r="C775" s="6"/>
      <c r="D775" s="6"/>
      <c r="E775" s="6"/>
      <c r="F775" s="6"/>
    </row>
    <row r="776" spans="3:6" ht="13.2" x14ac:dyDescent="0.25">
      <c r="C776" s="6"/>
      <c r="D776" s="6"/>
      <c r="E776" s="6"/>
      <c r="F776" s="6"/>
    </row>
    <row r="777" spans="3:6" ht="13.2" x14ac:dyDescent="0.25">
      <c r="C777" s="6"/>
      <c r="D777" s="6"/>
      <c r="E777" s="6"/>
      <c r="F777" s="6"/>
    </row>
    <row r="778" spans="3:6" ht="13.2" x14ac:dyDescent="0.25">
      <c r="C778" s="6"/>
      <c r="D778" s="6"/>
      <c r="E778" s="6"/>
      <c r="F778" s="6"/>
    </row>
    <row r="779" spans="3:6" ht="13.2" x14ac:dyDescent="0.25">
      <c r="C779" s="6"/>
      <c r="D779" s="6"/>
      <c r="E779" s="6"/>
      <c r="F779" s="6"/>
    </row>
    <row r="780" spans="3:6" ht="13.2" x14ac:dyDescent="0.25">
      <c r="C780" s="6"/>
      <c r="D780" s="6"/>
      <c r="E780" s="6"/>
      <c r="F780" s="6"/>
    </row>
    <row r="781" spans="3:6" ht="13.2" x14ac:dyDescent="0.25">
      <c r="C781" s="6"/>
      <c r="D781" s="6"/>
      <c r="E781" s="6"/>
      <c r="F781" s="6"/>
    </row>
    <row r="782" spans="3:6" ht="13.2" x14ac:dyDescent="0.25">
      <c r="C782" s="6"/>
      <c r="D782" s="6"/>
      <c r="E782" s="6"/>
      <c r="F782" s="6"/>
    </row>
    <row r="783" spans="3:6" ht="13.2" x14ac:dyDescent="0.25">
      <c r="C783" s="6"/>
      <c r="D783" s="6"/>
      <c r="E783" s="6"/>
      <c r="F783" s="6"/>
    </row>
    <row r="784" spans="3:6" ht="13.2" x14ac:dyDescent="0.25">
      <c r="C784" s="6"/>
      <c r="D784" s="6"/>
      <c r="E784" s="6"/>
      <c r="F784" s="6"/>
    </row>
    <row r="785" spans="3:6" ht="13.2" x14ac:dyDescent="0.25">
      <c r="C785" s="6"/>
      <c r="D785" s="6"/>
      <c r="E785" s="6"/>
      <c r="F785" s="6"/>
    </row>
    <row r="786" spans="3:6" ht="13.2" x14ac:dyDescent="0.25">
      <c r="C786" s="6"/>
      <c r="D786" s="6"/>
      <c r="E786" s="6"/>
      <c r="F786" s="6"/>
    </row>
    <row r="787" spans="3:6" ht="13.2" x14ac:dyDescent="0.25">
      <c r="C787" s="6"/>
      <c r="D787" s="6"/>
      <c r="E787" s="6"/>
      <c r="F787" s="6"/>
    </row>
    <row r="788" spans="3:6" ht="13.2" x14ac:dyDescent="0.25">
      <c r="C788" s="6"/>
      <c r="D788" s="6"/>
      <c r="E788" s="6"/>
      <c r="F788" s="6"/>
    </row>
    <row r="789" spans="3:6" ht="13.2" x14ac:dyDescent="0.25">
      <c r="C789" s="6"/>
      <c r="D789" s="6"/>
      <c r="E789" s="6"/>
      <c r="F789" s="6"/>
    </row>
    <row r="790" spans="3:6" ht="13.2" x14ac:dyDescent="0.25">
      <c r="C790" s="6"/>
      <c r="D790" s="6"/>
      <c r="E790" s="6"/>
      <c r="F790" s="6"/>
    </row>
    <row r="791" spans="3:6" ht="13.2" x14ac:dyDescent="0.25">
      <c r="C791" s="6"/>
      <c r="D791" s="6"/>
      <c r="E791" s="6"/>
      <c r="F791" s="6"/>
    </row>
    <row r="792" spans="3:6" ht="13.2" x14ac:dyDescent="0.25">
      <c r="C792" s="6"/>
      <c r="D792" s="6"/>
      <c r="E792" s="6"/>
      <c r="F792" s="6"/>
    </row>
    <row r="793" spans="3:6" ht="13.2" x14ac:dyDescent="0.25">
      <c r="C793" s="6"/>
      <c r="D793" s="6"/>
      <c r="E793" s="6"/>
      <c r="F793" s="6"/>
    </row>
    <row r="794" spans="3:6" ht="13.2" x14ac:dyDescent="0.25">
      <c r="C794" s="6"/>
      <c r="D794" s="6"/>
      <c r="E794" s="6"/>
      <c r="F794" s="6"/>
    </row>
    <row r="795" spans="3:6" ht="13.2" x14ac:dyDescent="0.25">
      <c r="C795" s="6"/>
      <c r="D795" s="6"/>
      <c r="E795" s="6"/>
      <c r="F795" s="6"/>
    </row>
    <row r="796" spans="3:6" ht="13.2" x14ac:dyDescent="0.25">
      <c r="C796" s="6"/>
      <c r="D796" s="6"/>
      <c r="E796" s="6"/>
      <c r="F796" s="6"/>
    </row>
    <row r="797" spans="3:6" ht="13.2" x14ac:dyDescent="0.25">
      <c r="C797" s="6"/>
      <c r="D797" s="6"/>
      <c r="E797" s="6"/>
      <c r="F797" s="6"/>
    </row>
    <row r="798" spans="3:6" ht="13.2" x14ac:dyDescent="0.25">
      <c r="C798" s="6"/>
      <c r="D798" s="6"/>
      <c r="E798" s="6"/>
      <c r="F798" s="6"/>
    </row>
    <row r="799" spans="3:6" ht="13.2" x14ac:dyDescent="0.25">
      <c r="C799" s="6"/>
      <c r="D799" s="6"/>
      <c r="E799" s="6"/>
      <c r="F799" s="6"/>
    </row>
    <row r="800" spans="3:6" ht="13.2" x14ac:dyDescent="0.25">
      <c r="C800" s="6"/>
      <c r="D800" s="6"/>
      <c r="E800" s="6"/>
      <c r="F800" s="6"/>
    </row>
    <row r="801" spans="3:6" ht="13.2" x14ac:dyDescent="0.25">
      <c r="C801" s="6"/>
      <c r="D801" s="6"/>
      <c r="E801" s="6"/>
      <c r="F801" s="6"/>
    </row>
    <row r="802" spans="3:6" ht="13.2" x14ac:dyDescent="0.25">
      <c r="C802" s="6"/>
      <c r="D802" s="6"/>
      <c r="E802" s="6"/>
      <c r="F802" s="6"/>
    </row>
    <row r="803" spans="3:6" ht="13.2" x14ac:dyDescent="0.25">
      <c r="C803" s="6"/>
      <c r="D803" s="6"/>
      <c r="E803" s="6"/>
      <c r="F803" s="6"/>
    </row>
    <row r="804" spans="3:6" ht="13.2" x14ac:dyDescent="0.25">
      <c r="C804" s="6"/>
      <c r="D804" s="6"/>
      <c r="E804" s="6"/>
      <c r="F804" s="6"/>
    </row>
    <row r="805" spans="3:6" ht="13.2" x14ac:dyDescent="0.25">
      <c r="C805" s="6"/>
      <c r="D805" s="6"/>
      <c r="E805" s="6"/>
      <c r="F805" s="6"/>
    </row>
    <row r="806" spans="3:6" ht="13.2" x14ac:dyDescent="0.25">
      <c r="C806" s="6"/>
      <c r="D806" s="6"/>
      <c r="E806" s="6"/>
      <c r="F806" s="6"/>
    </row>
    <row r="807" spans="3:6" ht="13.2" x14ac:dyDescent="0.25">
      <c r="C807" s="6"/>
      <c r="D807" s="6"/>
      <c r="E807" s="6"/>
      <c r="F807" s="6"/>
    </row>
    <row r="808" spans="3:6" ht="13.2" x14ac:dyDescent="0.25">
      <c r="C808" s="6"/>
      <c r="D808" s="6"/>
      <c r="E808" s="6"/>
      <c r="F808" s="6"/>
    </row>
    <row r="809" spans="3:6" ht="13.2" x14ac:dyDescent="0.25">
      <c r="C809" s="6"/>
      <c r="D809" s="6"/>
      <c r="E809" s="6"/>
      <c r="F809" s="6"/>
    </row>
    <row r="810" spans="3:6" ht="13.2" x14ac:dyDescent="0.25">
      <c r="C810" s="6"/>
      <c r="D810" s="6"/>
      <c r="E810" s="6"/>
      <c r="F810" s="6"/>
    </row>
    <row r="811" spans="3:6" ht="13.2" x14ac:dyDescent="0.25">
      <c r="C811" s="6"/>
      <c r="D811" s="6"/>
      <c r="E811" s="6"/>
      <c r="F811" s="6"/>
    </row>
    <row r="812" spans="3:6" ht="13.2" x14ac:dyDescent="0.25">
      <c r="C812" s="6"/>
      <c r="D812" s="6"/>
      <c r="E812" s="6"/>
      <c r="F812" s="6"/>
    </row>
    <row r="813" spans="3:6" ht="13.2" x14ac:dyDescent="0.25">
      <c r="C813" s="6"/>
      <c r="D813" s="6"/>
      <c r="E813" s="6"/>
      <c r="F813" s="6"/>
    </row>
    <row r="814" spans="3:6" ht="13.2" x14ac:dyDescent="0.25">
      <c r="C814" s="6"/>
      <c r="D814" s="6"/>
      <c r="E814" s="6"/>
      <c r="F814" s="6"/>
    </row>
    <row r="815" spans="3:6" ht="13.2" x14ac:dyDescent="0.25">
      <c r="C815" s="6"/>
      <c r="D815" s="6"/>
      <c r="E815" s="6"/>
      <c r="F815" s="6"/>
    </row>
    <row r="816" spans="3:6" ht="13.2" x14ac:dyDescent="0.25">
      <c r="C816" s="6"/>
      <c r="D816" s="6"/>
      <c r="E816" s="6"/>
      <c r="F816" s="6"/>
    </row>
    <row r="817" spans="3:6" ht="13.2" x14ac:dyDescent="0.25">
      <c r="C817" s="6"/>
      <c r="D817" s="6"/>
      <c r="E817" s="6"/>
      <c r="F817" s="6"/>
    </row>
    <row r="818" spans="3:6" ht="13.2" x14ac:dyDescent="0.25">
      <c r="C818" s="6"/>
      <c r="D818" s="6"/>
      <c r="E818" s="6"/>
      <c r="F818" s="6"/>
    </row>
    <row r="819" spans="3:6" ht="13.2" x14ac:dyDescent="0.25">
      <c r="C819" s="6"/>
      <c r="D819" s="6"/>
      <c r="E819" s="6"/>
      <c r="F819" s="6"/>
    </row>
    <row r="820" spans="3:6" ht="13.2" x14ac:dyDescent="0.25">
      <c r="C820" s="6"/>
      <c r="D820" s="6"/>
      <c r="E820" s="6"/>
      <c r="F820" s="6"/>
    </row>
    <row r="821" spans="3:6" ht="13.2" x14ac:dyDescent="0.25">
      <c r="C821" s="6"/>
      <c r="D821" s="6"/>
      <c r="E821" s="6"/>
      <c r="F821" s="6"/>
    </row>
    <row r="822" spans="3:6" ht="13.2" x14ac:dyDescent="0.25">
      <c r="C822" s="6"/>
      <c r="D822" s="6"/>
      <c r="E822" s="6"/>
      <c r="F822" s="6"/>
    </row>
    <row r="823" spans="3:6" ht="13.2" x14ac:dyDescent="0.25">
      <c r="C823" s="6"/>
      <c r="D823" s="6"/>
      <c r="E823" s="6"/>
      <c r="F823" s="6"/>
    </row>
    <row r="824" spans="3:6" ht="13.2" x14ac:dyDescent="0.25">
      <c r="C824" s="6"/>
      <c r="D824" s="6"/>
      <c r="E824" s="6"/>
      <c r="F824" s="6"/>
    </row>
    <row r="825" spans="3:6" ht="13.2" x14ac:dyDescent="0.25">
      <c r="C825" s="6"/>
      <c r="D825" s="6"/>
      <c r="E825" s="6"/>
      <c r="F825" s="6"/>
    </row>
    <row r="826" spans="3:6" ht="13.2" x14ac:dyDescent="0.25">
      <c r="C826" s="6"/>
      <c r="D826" s="6"/>
      <c r="E826" s="6"/>
      <c r="F826" s="6"/>
    </row>
    <row r="827" spans="3:6" ht="13.2" x14ac:dyDescent="0.25">
      <c r="C827" s="6"/>
      <c r="D827" s="6"/>
      <c r="E827" s="6"/>
      <c r="F827" s="6"/>
    </row>
    <row r="828" spans="3:6" ht="13.2" x14ac:dyDescent="0.25">
      <c r="C828" s="6"/>
      <c r="D828" s="6"/>
      <c r="E828" s="6"/>
      <c r="F828" s="6"/>
    </row>
    <row r="829" spans="3:6" ht="13.2" x14ac:dyDescent="0.25">
      <c r="C829" s="6"/>
      <c r="D829" s="6"/>
      <c r="E829" s="6"/>
      <c r="F829" s="6"/>
    </row>
    <row r="830" spans="3:6" ht="13.2" x14ac:dyDescent="0.25">
      <c r="C830" s="6"/>
      <c r="D830" s="6"/>
      <c r="E830" s="6"/>
      <c r="F830" s="6"/>
    </row>
    <row r="831" spans="3:6" ht="13.2" x14ac:dyDescent="0.25">
      <c r="C831" s="6"/>
      <c r="D831" s="6"/>
      <c r="E831" s="6"/>
      <c r="F831" s="6"/>
    </row>
    <row r="832" spans="3:6" ht="13.2" x14ac:dyDescent="0.25">
      <c r="C832" s="6"/>
      <c r="D832" s="6"/>
      <c r="E832" s="6"/>
      <c r="F832" s="6"/>
    </row>
    <row r="833" spans="3:6" ht="13.2" x14ac:dyDescent="0.25">
      <c r="C833" s="6"/>
      <c r="D833" s="6"/>
      <c r="E833" s="6"/>
      <c r="F833" s="6"/>
    </row>
    <row r="834" spans="3:6" ht="13.2" x14ac:dyDescent="0.25">
      <c r="C834" s="6"/>
      <c r="D834" s="6"/>
      <c r="E834" s="6"/>
      <c r="F834" s="6"/>
    </row>
    <row r="835" spans="3:6" ht="13.2" x14ac:dyDescent="0.25">
      <c r="C835" s="6"/>
      <c r="D835" s="6"/>
      <c r="E835" s="6"/>
      <c r="F835" s="6"/>
    </row>
    <row r="836" spans="3:6" ht="13.2" x14ac:dyDescent="0.25">
      <c r="C836" s="6"/>
      <c r="D836" s="6"/>
      <c r="E836" s="6"/>
      <c r="F836" s="6"/>
    </row>
    <row r="837" spans="3:6" ht="13.2" x14ac:dyDescent="0.25">
      <c r="C837" s="6"/>
      <c r="D837" s="6"/>
      <c r="E837" s="6"/>
      <c r="F837" s="6"/>
    </row>
    <row r="838" spans="3:6" ht="13.2" x14ac:dyDescent="0.25">
      <c r="C838" s="6"/>
      <c r="D838" s="6"/>
      <c r="E838" s="6"/>
      <c r="F838" s="6"/>
    </row>
    <row r="839" spans="3:6" ht="13.2" x14ac:dyDescent="0.25">
      <c r="C839" s="6"/>
      <c r="D839" s="6"/>
      <c r="E839" s="6"/>
      <c r="F839" s="6"/>
    </row>
    <row r="840" spans="3:6" ht="13.2" x14ac:dyDescent="0.25">
      <c r="C840" s="6"/>
      <c r="D840" s="6"/>
      <c r="E840" s="6"/>
      <c r="F840" s="6"/>
    </row>
    <row r="841" spans="3:6" ht="13.2" x14ac:dyDescent="0.25">
      <c r="C841" s="6"/>
      <c r="D841" s="6"/>
      <c r="E841" s="6"/>
      <c r="F841" s="6"/>
    </row>
    <row r="842" spans="3:6" ht="13.2" x14ac:dyDescent="0.25">
      <c r="C842" s="6"/>
      <c r="D842" s="6"/>
      <c r="E842" s="6"/>
      <c r="F842" s="6"/>
    </row>
    <row r="843" spans="3:6" ht="13.2" x14ac:dyDescent="0.25">
      <c r="C843" s="6"/>
      <c r="D843" s="6"/>
      <c r="E843" s="6"/>
      <c r="F843" s="6"/>
    </row>
    <row r="844" spans="3:6" ht="13.2" x14ac:dyDescent="0.25">
      <c r="C844" s="6"/>
      <c r="D844" s="6"/>
      <c r="E844" s="6"/>
      <c r="F844" s="6"/>
    </row>
    <row r="845" spans="3:6" ht="13.2" x14ac:dyDescent="0.25">
      <c r="C845" s="6"/>
      <c r="D845" s="6"/>
      <c r="E845" s="6"/>
      <c r="F845" s="6"/>
    </row>
    <row r="846" spans="3:6" ht="13.2" x14ac:dyDescent="0.25">
      <c r="C846" s="6"/>
      <c r="D846" s="6"/>
      <c r="E846" s="6"/>
      <c r="F846" s="6"/>
    </row>
    <row r="847" spans="3:6" ht="13.2" x14ac:dyDescent="0.25">
      <c r="C847" s="6"/>
      <c r="D847" s="6"/>
      <c r="E847" s="6"/>
      <c r="F847" s="6"/>
    </row>
    <row r="848" spans="3:6" ht="13.2" x14ac:dyDescent="0.25">
      <c r="C848" s="6"/>
      <c r="D848" s="6"/>
      <c r="E848" s="6"/>
      <c r="F848" s="6"/>
    </row>
    <row r="849" spans="3:6" ht="13.2" x14ac:dyDescent="0.25">
      <c r="C849" s="6"/>
      <c r="D849" s="6"/>
      <c r="E849" s="6"/>
      <c r="F849" s="6"/>
    </row>
    <row r="850" spans="3:6" ht="13.2" x14ac:dyDescent="0.25">
      <c r="C850" s="6"/>
      <c r="D850" s="6"/>
      <c r="E850" s="6"/>
      <c r="F850" s="6"/>
    </row>
    <row r="851" spans="3:6" ht="13.2" x14ac:dyDescent="0.25">
      <c r="C851" s="6"/>
      <c r="D851" s="6"/>
      <c r="E851" s="6"/>
      <c r="F851" s="6"/>
    </row>
    <row r="852" spans="3:6" ht="13.2" x14ac:dyDescent="0.25">
      <c r="C852" s="6"/>
      <c r="D852" s="6"/>
      <c r="E852" s="6"/>
      <c r="F852" s="6"/>
    </row>
    <row r="853" spans="3:6" ht="13.2" x14ac:dyDescent="0.25">
      <c r="C853" s="6"/>
      <c r="D853" s="6"/>
      <c r="E853" s="6"/>
      <c r="F853" s="6"/>
    </row>
    <row r="854" spans="3:6" ht="13.2" x14ac:dyDescent="0.25">
      <c r="C854" s="6"/>
      <c r="D854" s="6"/>
      <c r="E854" s="6"/>
      <c r="F854" s="6"/>
    </row>
    <row r="855" spans="3:6" ht="13.2" x14ac:dyDescent="0.25">
      <c r="C855" s="6"/>
      <c r="D855" s="6"/>
      <c r="E855" s="6"/>
      <c r="F855" s="6"/>
    </row>
    <row r="856" spans="3:6" ht="13.2" x14ac:dyDescent="0.25">
      <c r="C856" s="6"/>
      <c r="D856" s="6"/>
      <c r="E856" s="6"/>
      <c r="F856" s="6"/>
    </row>
    <row r="857" spans="3:6" ht="13.2" x14ac:dyDescent="0.25">
      <c r="C857" s="6"/>
      <c r="D857" s="6"/>
      <c r="E857" s="6"/>
      <c r="F857" s="6"/>
    </row>
    <row r="858" spans="3:6" ht="13.2" x14ac:dyDescent="0.25">
      <c r="C858" s="6"/>
      <c r="D858" s="6"/>
      <c r="E858" s="6"/>
      <c r="F858" s="6"/>
    </row>
    <row r="859" spans="3:6" ht="13.2" x14ac:dyDescent="0.25">
      <c r="C859" s="6"/>
      <c r="D859" s="6"/>
      <c r="E859" s="6"/>
      <c r="F859" s="6"/>
    </row>
    <row r="860" spans="3:6" ht="13.2" x14ac:dyDescent="0.25">
      <c r="C860" s="6"/>
      <c r="D860" s="6"/>
      <c r="E860" s="6"/>
      <c r="F860" s="6"/>
    </row>
    <row r="861" spans="3:6" ht="13.2" x14ac:dyDescent="0.25">
      <c r="C861" s="6"/>
      <c r="D861" s="6"/>
      <c r="E861" s="6"/>
      <c r="F861" s="6"/>
    </row>
    <row r="862" spans="3:6" ht="13.2" x14ac:dyDescent="0.25">
      <c r="C862" s="6"/>
      <c r="D862" s="6"/>
      <c r="E862" s="6"/>
      <c r="F862" s="6"/>
    </row>
    <row r="863" spans="3:6" ht="13.2" x14ac:dyDescent="0.25">
      <c r="C863" s="6"/>
      <c r="D863" s="6"/>
      <c r="E863" s="6"/>
      <c r="F863" s="6"/>
    </row>
    <row r="864" spans="3:6" ht="13.2" x14ac:dyDescent="0.25">
      <c r="C864" s="6"/>
      <c r="D864" s="6"/>
      <c r="E864" s="6"/>
      <c r="F864" s="6"/>
    </row>
    <row r="865" spans="3:6" ht="13.2" x14ac:dyDescent="0.25">
      <c r="C865" s="6"/>
      <c r="D865" s="6"/>
      <c r="E865" s="6"/>
      <c r="F865" s="6"/>
    </row>
    <row r="866" spans="3:6" ht="13.2" x14ac:dyDescent="0.25">
      <c r="C866" s="6"/>
      <c r="D866" s="6"/>
      <c r="E866" s="6"/>
      <c r="F866" s="6"/>
    </row>
    <row r="867" spans="3:6" ht="13.2" x14ac:dyDescent="0.25">
      <c r="C867" s="6"/>
      <c r="D867" s="6"/>
      <c r="E867" s="6"/>
      <c r="F867" s="6"/>
    </row>
    <row r="868" spans="3:6" ht="13.2" x14ac:dyDescent="0.25">
      <c r="C868" s="6"/>
      <c r="D868" s="6"/>
      <c r="E868" s="6"/>
      <c r="F868" s="6"/>
    </row>
    <row r="869" spans="3:6" ht="13.2" x14ac:dyDescent="0.25">
      <c r="C869" s="6"/>
      <c r="D869" s="6"/>
      <c r="E869" s="6"/>
      <c r="F869" s="6"/>
    </row>
    <row r="870" spans="3:6" ht="13.2" x14ac:dyDescent="0.25">
      <c r="C870" s="6"/>
      <c r="D870" s="6"/>
      <c r="E870" s="6"/>
      <c r="F870" s="6"/>
    </row>
    <row r="871" spans="3:6" ht="13.2" x14ac:dyDescent="0.25">
      <c r="C871" s="6"/>
      <c r="D871" s="6"/>
      <c r="E871" s="6"/>
      <c r="F871" s="6"/>
    </row>
    <row r="872" spans="3:6" ht="13.2" x14ac:dyDescent="0.25">
      <c r="C872" s="6"/>
      <c r="D872" s="6"/>
      <c r="E872" s="6"/>
      <c r="F872" s="6"/>
    </row>
    <row r="873" spans="3:6" ht="13.2" x14ac:dyDescent="0.25">
      <c r="C873" s="6"/>
      <c r="D873" s="6"/>
      <c r="E873" s="6"/>
      <c r="F873" s="6"/>
    </row>
    <row r="874" spans="3:6" ht="13.2" x14ac:dyDescent="0.25">
      <c r="C874" s="6"/>
      <c r="D874" s="6"/>
      <c r="E874" s="6"/>
      <c r="F874" s="6"/>
    </row>
    <row r="875" spans="3:6" ht="13.2" x14ac:dyDescent="0.25">
      <c r="C875" s="6"/>
      <c r="D875" s="6"/>
      <c r="E875" s="6"/>
      <c r="F875" s="6"/>
    </row>
    <row r="876" spans="3:6" ht="13.2" x14ac:dyDescent="0.25">
      <c r="C876" s="6"/>
      <c r="D876" s="6"/>
      <c r="E876" s="6"/>
      <c r="F876" s="6"/>
    </row>
    <row r="877" spans="3:6" ht="13.2" x14ac:dyDescent="0.25">
      <c r="C877" s="6"/>
      <c r="D877" s="6"/>
      <c r="E877" s="6"/>
      <c r="F877" s="6"/>
    </row>
    <row r="878" spans="3:6" ht="13.2" x14ac:dyDescent="0.25">
      <c r="C878" s="6"/>
      <c r="D878" s="6"/>
      <c r="E878" s="6"/>
      <c r="F878" s="6"/>
    </row>
    <row r="879" spans="3:6" ht="13.2" x14ac:dyDescent="0.25">
      <c r="C879" s="6"/>
      <c r="D879" s="6"/>
      <c r="E879" s="6"/>
      <c r="F879" s="6"/>
    </row>
    <row r="880" spans="3:6" ht="13.2" x14ac:dyDescent="0.25">
      <c r="C880" s="6"/>
      <c r="D880" s="6"/>
      <c r="E880" s="6"/>
      <c r="F880" s="6"/>
    </row>
    <row r="881" spans="3:6" ht="13.2" x14ac:dyDescent="0.25">
      <c r="C881" s="6"/>
      <c r="D881" s="6"/>
      <c r="E881" s="6"/>
      <c r="F881" s="6"/>
    </row>
    <row r="882" spans="3:6" ht="13.2" x14ac:dyDescent="0.25">
      <c r="C882" s="6"/>
      <c r="D882" s="6"/>
      <c r="E882" s="6"/>
      <c r="F882" s="6"/>
    </row>
    <row r="883" spans="3:6" ht="13.2" x14ac:dyDescent="0.25">
      <c r="C883" s="6"/>
      <c r="D883" s="6"/>
      <c r="E883" s="6"/>
      <c r="F883" s="6"/>
    </row>
    <row r="884" spans="3:6" ht="13.2" x14ac:dyDescent="0.25">
      <c r="C884" s="6"/>
      <c r="D884" s="6"/>
      <c r="E884" s="6"/>
      <c r="F884" s="6"/>
    </row>
    <row r="885" spans="3:6" ht="13.2" x14ac:dyDescent="0.25">
      <c r="C885" s="6"/>
      <c r="D885" s="6"/>
      <c r="E885" s="6"/>
      <c r="F885" s="6"/>
    </row>
    <row r="886" spans="3:6" ht="13.2" x14ac:dyDescent="0.25">
      <c r="C886" s="6"/>
      <c r="D886" s="6"/>
      <c r="E886" s="6"/>
      <c r="F886" s="6"/>
    </row>
    <row r="887" spans="3:6" ht="13.2" x14ac:dyDescent="0.25">
      <c r="C887" s="6"/>
      <c r="D887" s="6"/>
      <c r="E887" s="6"/>
      <c r="F887" s="6"/>
    </row>
    <row r="888" spans="3:6" ht="13.2" x14ac:dyDescent="0.25">
      <c r="C888" s="6"/>
      <c r="D888" s="6"/>
      <c r="E888" s="6"/>
      <c r="F888" s="6"/>
    </row>
    <row r="889" spans="3:6" ht="13.2" x14ac:dyDescent="0.25">
      <c r="C889" s="6"/>
      <c r="D889" s="6"/>
      <c r="E889" s="6"/>
      <c r="F889" s="6"/>
    </row>
    <row r="890" spans="3:6" ht="13.2" x14ac:dyDescent="0.25">
      <c r="C890" s="6"/>
      <c r="D890" s="6"/>
      <c r="E890" s="6"/>
      <c r="F890" s="6"/>
    </row>
    <row r="891" spans="3:6" ht="13.2" x14ac:dyDescent="0.25">
      <c r="C891" s="6"/>
      <c r="D891" s="6"/>
      <c r="E891" s="6"/>
      <c r="F891" s="6"/>
    </row>
    <row r="892" spans="3:6" ht="13.2" x14ac:dyDescent="0.25">
      <c r="C892" s="6"/>
      <c r="D892" s="6"/>
      <c r="E892" s="6"/>
      <c r="F892" s="6"/>
    </row>
    <row r="893" spans="3:6" ht="13.2" x14ac:dyDescent="0.25">
      <c r="C893" s="6"/>
      <c r="D893" s="6"/>
      <c r="E893" s="6"/>
      <c r="F893" s="6"/>
    </row>
    <row r="894" spans="3:6" ht="13.2" x14ac:dyDescent="0.25">
      <c r="C894" s="6"/>
      <c r="D894" s="6"/>
      <c r="E894" s="6"/>
      <c r="F894" s="6"/>
    </row>
    <row r="895" spans="3:6" ht="13.2" x14ac:dyDescent="0.25">
      <c r="C895" s="6"/>
      <c r="D895" s="6"/>
      <c r="E895" s="6"/>
      <c r="F895" s="6"/>
    </row>
    <row r="896" spans="3:6" ht="13.2" x14ac:dyDescent="0.25">
      <c r="C896" s="6"/>
      <c r="D896" s="6"/>
      <c r="E896" s="6"/>
      <c r="F896" s="6"/>
    </row>
    <row r="897" spans="3:6" ht="13.2" x14ac:dyDescent="0.25">
      <c r="C897" s="6"/>
      <c r="D897" s="6"/>
      <c r="E897" s="6"/>
      <c r="F897" s="6"/>
    </row>
    <row r="898" spans="3:6" ht="13.2" x14ac:dyDescent="0.25">
      <c r="C898" s="6"/>
      <c r="D898" s="6"/>
      <c r="E898" s="6"/>
      <c r="F898" s="6"/>
    </row>
    <row r="899" spans="3:6" ht="13.2" x14ac:dyDescent="0.25">
      <c r="C899" s="6"/>
      <c r="D899" s="6"/>
      <c r="E899" s="6"/>
      <c r="F899" s="6"/>
    </row>
    <row r="900" spans="3:6" ht="13.2" x14ac:dyDescent="0.25">
      <c r="C900" s="6"/>
      <c r="D900" s="6"/>
      <c r="E900" s="6"/>
      <c r="F900" s="6"/>
    </row>
    <row r="901" spans="3:6" ht="13.2" x14ac:dyDescent="0.25">
      <c r="C901" s="6"/>
      <c r="D901" s="6"/>
      <c r="E901" s="6"/>
      <c r="F901" s="6"/>
    </row>
    <row r="902" spans="3:6" ht="13.2" x14ac:dyDescent="0.25">
      <c r="C902" s="6"/>
      <c r="D902" s="6"/>
      <c r="E902" s="6"/>
      <c r="F902" s="6"/>
    </row>
    <row r="903" spans="3:6" ht="13.2" x14ac:dyDescent="0.25">
      <c r="C903" s="6"/>
      <c r="D903" s="6"/>
      <c r="E903" s="6"/>
      <c r="F903" s="6"/>
    </row>
    <row r="904" spans="3:6" ht="13.2" x14ac:dyDescent="0.25">
      <c r="C904" s="6"/>
      <c r="D904" s="6"/>
      <c r="E904" s="6"/>
      <c r="F904" s="6"/>
    </row>
    <row r="905" spans="3:6" ht="13.2" x14ac:dyDescent="0.25">
      <c r="C905" s="6"/>
      <c r="D905" s="6"/>
      <c r="E905" s="6"/>
      <c r="F905" s="6"/>
    </row>
    <row r="906" spans="3:6" ht="13.2" x14ac:dyDescent="0.25">
      <c r="C906" s="6"/>
      <c r="D906" s="6"/>
      <c r="E906" s="6"/>
      <c r="F906" s="6"/>
    </row>
    <row r="907" spans="3:6" ht="13.2" x14ac:dyDescent="0.25">
      <c r="C907" s="6"/>
      <c r="D907" s="6"/>
      <c r="E907" s="6"/>
      <c r="F907" s="6"/>
    </row>
    <row r="908" spans="3:6" ht="13.2" x14ac:dyDescent="0.25">
      <c r="C908" s="6"/>
      <c r="D908" s="6"/>
      <c r="E908" s="6"/>
      <c r="F908" s="6"/>
    </row>
    <row r="909" spans="3:6" ht="13.2" x14ac:dyDescent="0.25">
      <c r="C909" s="6"/>
      <c r="D909" s="6"/>
      <c r="E909" s="6"/>
      <c r="F909" s="6"/>
    </row>
    <row r="910" spans="3:6" ht="13.2" x14ac:dyDescent="0.25">
      <c r="C910" s="6"/>
      <c r="D910" s="6"/>
      <c r="E910" s="6"/>
      <c r="F910" s="6"/>
    </row>
    <row r="911" spans="3:6" ht="13.2" x14ac:dyDescent="0.25">
      <c r="C911" s="6"/>
      <c r="D911" s="6"/>
      <c r="E911" s="6"/>
      <c r="F911" s="6"/>
    </row>
    <row r="912" spans="3:6" ht="13.2" x14ac:dyDescent="0.25">
      <c r="C912" s="6"/>
      <c r="D912" s="6"/>
      <c r="E912" s="6"/>
      <c r="F912" s="6"/>
    </row>
    <row r="913" spans="3:6" ht="13.2" x14ac:dyDescent="0.25">
      <c r="C913" s="6"/>
      <c r="D913" s="6"/>
      <c r="E913" s="6"/>
      <c r="F913" s="6"/>
    </row>
    <row r="914" spans="3:6" ht="13.2" x14ac:dyDescent="0.25">
      <c r="C914" s="6"/>
      <c r="D914" s="6"/>
      <c r="E914" s="6"/>
      <c r="F914" s="6"/>
    </row>
    <row r="915" spans="3:6" ht="13.2" x14ac:dyDescent="0.25">
      <c r="C915" s="6"/>
      <c r="D915" s="6"/>
      <c r="E915" s="6"/>
      <c r="F915" s="6"/>
    </row>
    <row r="916" spans="3:6" ht="13.2" x14ac:dyDescent="0.25">
      <c r="C916" s="6"/>
      <c r="D916" s="6"/>
      <c r="E916" s="6"/>
      <c r="F916" s="6"/>
    </row>
    <row r="917" spans="3:6" ht="13.2" x14ac:dyDescent="0.25">
      <c r="C917" s="6"/>
      <c r="D917" s="6"/>
      <c r="E917" s="6"/>
      <c r="F917" s="6"/>
    </row>
    <row r="918" spans="3:6" ht="13.2" x14ac:dyDescent="0.25">
      <c r="C918" s="6"/>
      <c r="D918" s="6"/>
      <c r="E918" s="6"/>
      <c r="F918" s="6"/>
    </row>
    <row r="919" spans="3:6" ht="13.2" x14ac:dyDescent="0.25">
      <c r="C919" s="6"/>
      <c r="D919" s="6"/>
      <c r="E919" s="6"/>
      <c r="F919" s="6"/>
    </row>
    <row r="920" spans="3:6" ht="13.2" x14ac:dyDescent="0.25">
      <c r="C920" s="6"/>
      <c r="D920" s="6"/>
      <c r="E920" s="6"/>
      <c r="F920" s="6"/>
    </row>
    <row r="921" spans="3:6" ht="13.2" x14ac:dyDescent="0.25">
      <c r="C921" s="6"/>
      <c r="D921" s="6"/>
      <c r="E921" s="6"/>
      <c r="F921" s="6"/>
    </row>
    <row r="922" spans="3:6" ht="13.2" x14ac:dyDescent="0.25">
      <c r="C922" s="6"/>
      <c r="D922" s="6"/>
      <c r="E922" s="6"/>
      <c r="F922" s="6"/>
    </row>
    <row r="923" spans="3:6" ht="13.2" x14ac:dyDescent="0.25">
      <c r="C923" s="6"/>
      <c r="D923" s="6"/>
      <c r="E923" s="6"/>
      <c r="F923" s="6"/>
    </row>
    <row r="924" spans="3:6" ht="13.2" x14ac:dyDescent="0.25">
      <c r="C924" s="6"/>
      <c r="D924" s="6"/>
      <c r="E924" s="6"/>
      <c r="F924" s="6"/>
    </row>
    <row r="925" spans="3:6" ht="13.2" x14ac:dyDescent="0.25">
      <c r="C925" s="6"/>
      <c r="D925" s="6"/>
      <c r="E925" s="6"/>
      <c r="F925" s="6"/>
    </row>
    <row r="926" spans="3:6" ht="13.2" x14ac:dyDescent="0.25">
      <c r="C926" s="6"/>
      <c r="D926" s="6"/>
      <c r="E926" s="6"/>
      <c r="F926" s="6"/>
    </row>
    <row r="927" spans="3:6" ht="13.2" x14ac:dyDescent="0.25">
      <c r="C927" s="6"/>
      <c r="D927" s="6"/>
      <c r="E927" s="6"/>
      <c r="F927" s="6"/>
    </row>
    <row r="928" spans="3:6" ht="13.2" x14ac:dyDescent="0.25">
      <c r="C928" s="6"/>
      <c r="D928" s="6"/>
      <c r="E928" s="6"/>
      <c r="F928" s="6"/>
    </row>
    <row r="929" spans="3:6" ht="13.2" x14ac:dyDescent="0.25">
      <c r="C929" s="6"/>
      <c r="D929" s="6"/>
      <c r="E929" s="6"/>
      <c r="F929" s="6"/>
    </row>
    <row r="930" spans="3:6" ht="13.2" x14ac:dyDescent="0.25">
      <c r="C930" s="6"/>
      <c r="D930" s="6"/>
      <c r="E930" s="6"/>
      <c r="F930" s="6"/>
    </row>
    <row r="931" spans="3:6" ht="13.2" x14ac:dyDescent="0.25">
      <c r="C931" s="6"/>
      <c r="D931" s="6"/>
      <c r="E931" s="6"/>
      <c r="F931" s="6"/>
    </row>
    <row r="932" spans="3:6" ht="13.2" x14ac:dyDescent="0.25">
      <c r="C932" s="6"/>
      <c r="D932" s="6"/>
      <c r="E932" s="6"/>
      <c r="F932" s="6"/>
    </row>
    <row r="933" spans="3:6" ht="13.2" x14ac:dyDescent="0.25">
      <c r="C933" s="6"/>
      <c r="D933" s="6"/>
      <c r="E933" s="6"/>
      <c r="F933" s="6"/>
    </row>
    <row r="934" spans="3:6" ht="13.2" x14ac:dyDescent="0.25">
      <c r="C934" s="6"/>
      <c r="D934" s="6"/>
      <c r="E934" s="6"/>
      <c r="F934" s="6"/>
    </row>
    <row r="935" spans="3:6" ht="13.2" x14ac:dyDescent="0.25">
      <c r="C935" s="6"/>
      <c r="D935" s="6"/>
      <c r="E935" s="6"/>
      <c r="F935" s="6"/>
    </row>
    <row r="936" spans="3:6" ht="13.2" x14ac:dyDescent="0.25">
      <c r="C936" s="6"/>
      <c r="D936" s="6"/>
      <c r="E936" s="6"/>
      <c r="F936" s="6"/>
    </row>
    <row r="937" spans="3:6" ht="13.2" x14ac:dyDescent="0.25">
      <c r="C937" s="6"/>
      <c r="D937" s="6"/>
      <c r="E937" s="6"/>
      <c r="F937" s="6"/>
    </row>
    <row r="938" spans="3:6" ht="13.2" x14ac:dyDescent="0.25">
      <c r="C938" s="6"/>
      <c r="D938" s="6"/>
      <c r="E938" s="6"/>
      <c r="F938" s="6"/>
    </row>
    <row r="939" spans="3:6" ht="13.2" x14ac:dyDescent="0.25">
      <c r="C939" s="6"/>
      <c r="D939" s="6"/>
      <c r="E939" s="6"/>
      <c r="F939" s="6"/>
    </row>
    <row r="940" spans="3:6" ht="13.2" x14ac:dyDescent="0.25">
      <c r="C940" s="6"/>
      <c r="D940" s="6"/>
      <c r="E940" s="6"/>
      <c r="F940" s="6"/>
    </row>
    <row r="941" spans="3:6" ht="13.2" x14ac:dyDescent="0.25">
      <c r="C941" s="6"/>
      <c r="D941" s="6"/>
      <c r="E941" s="6"/>
      <c r="F941" s="6"/>
    </row>
    <row r="942" spans="3:6" ht="13.2" x14ac:dyDescent="0.25">
      <c r="C942" s="6"/>
      <c r="D942" s="6"/>
      <c r="E942" s="6"/>
      <c r="F942" s="6"/>
    </row>
    <row r="943" spans="3:6" ht="13.2" x14ac:dyDescent="0.25">
      <c r="C943" s="6"/>
      <c r="D943" s="6"/>
      <c r="E943" s="6"/>
      <c r="F943" s="6"/>
    </row>
    <row r="944" spans="3:6" ht="13.2" x14ac:dyDescent="0.25">
      <c r="C944" s="6"/>
      <c r="D944" s="6"/>
      <c r="E944" s="6"/>
      <c r="F944" s="6"/>
    </row>
    <row r="945" spans="3:6" ht="13.2" x14ac:dyDescent="0.25">
      <c r="C945" s="6"/>
      <c r="D945" s="6"/>
      <c r="E945" s="6"/>
      <c r="F945" s="6"/>
    </row>
    <row r="946" spans="3:6" ht="13.2" x14ac:dyDescent="0.25">
      <c r="C946" s="6"/>
      <c r="D946" s="6"/>
      <c r="E946" s="6"/>
      <c r="F946" s="6"/>
    </row>
    <row r="947" spans="3:6" ht="13.2" x14ac:dyDescent="0.25">
      <c r="C947" s="6"/>
      <c r="D947" s="6"/>
      <c r="E947" s="6"/>
      <c r="F947" s="6"/>
    </row>
    <row r="948" spans="3:6" ht="13.2" x14ac:dyDescent="0.25">
      <c r="C948" s="6"/>
      <c r="D948" s="6"/>
      <c r="E948" s="6"/>
      <c r="F948" s="6"/>
    </row>
    <row r="949" spans="3:6" ht="13.2" x14ac:dyDescent="0.25">
      <c r="C949" s="6"/>
      <c r="D949" s="6"/>
      <c r="E949" s="6"/>
      <c r="F949" s="6"/>
    </row>
    <row r="950" spans="3:6" ht="13.2" x14ac:dyDescent="0.25">
      <c r="C950" s="6"/>
      <c r="D950" s="6"/>
      <c r="E950" s="6"/>
      <c r="F950" s="6"/>
    </row>
    <row r="951" spans="3:6" ht="13.2" x14ac:dyDescent="0.25">
      <c r="C951" s="6"/>
      <c r="D951" s="6"/>
      <c r="E951" s="6"/>
      <c r="F951" s="6"/>
    </row>
    <row r="952" spans="3:6" ht="13.2" x14ac:dyDescent="0.25">
      <c r="C952" s="6"/>
      <c r="D952" s="6"/>
      <c r="E952" s="6"/>
      <c r="F952" s="6"/>
    </row>
    <row r="953" spans="3:6" ht="13.2" x14ac:dyDescent="0.25">
      <c r="C953" s="6"/>
      <c r="D953" s="6"/>
      <c r="E953" s="6"/>
      <c r="F953" s="6"/>
    </row>
    <row r="954" spans="3:6" ht="13.2" x14ac:dyDescent="0.25">
      <c r="C954" s="6"/>
      <c r="D954" s="6"/>
      <c r="E954" s="6"/>
      <c r="F954" s="6"/>
    </row>
    <row r="955" spans="3:6" ht="13.2" x14ac:dyDescent="0.25">
      <c r="C955" s="6"/>
      <c r="D955" s="6"/>
      <c r="E955" s="6"/>
      <c r="F955" s="6"/>
    </row>
    <row r="956" spans="3:6" ht="13.2" x14ac:dyDescent="0.25">
      <c r="C956" s="6"/>
      <c r="D956" s="6"/>
      <c r="E956" s="6"/>
      <c r="F956" s="6"/>
    </row>
    <row r="957" spans="3:6" ht="13.2" x14ac:dyDescent="0.25">
      <c r="C957" s="6"/>
      <c r="D957" s="6"/>
      <c r="E957" s="6"/>
      <c r="F957" s="6"/>
    </row>
    <row r="958" spans="3:6" ht="13.2" x14ac:dyDescent="0.25">
      <c r="C958" s="6"/>
      <c r="D958" s="6"/>
      <c r="E958" s="6"/>
      <c r="F958" s="6"/>
    </row>
    <row r="959" spans="3:6" ht="13.2" x14ac:dyDescent="0.25">
      <c r="C959" s="6"/>
      <c r="D959" s="6"/>
      <c r="E959" s="6"/>
      <c r="F959" s="6"/>
    </row>
    <row r="960" spans="3:6" ht="13.2" x14ac:dyDescent="0.25">
      <c r="C960" s="6"/>
      <c r="D960" s="6"/>
      <c r="E960" s="6"/>
      <c r="F960" s="6"/>
    </row>
    <row r="961" spans="3:6" ht="13.2" x14ac:dyDescent="0.25">
      <c r="C961" s="6"/>
      <c r="D961" s="6"/>
      <c r="E961" s="6"/>
      <c r="F961" s="6"/>
    </row>
    <row r="962" spans="3:6" ht="13.2" x14ac:dyDescent="0.25">
      <c r="C962" s="6"/>
      <c r="D962" s="6"/>
      <c r="E962" s="6"/>
      <c r="F962" s="6"/>
    </row>
    <row r="963" spans="3:6" ht="13.2" x14ac:dyDescent="0.25">
      <c r="C963" s="6"/>
      <c r="D963" s="6"/>
      <c r="E963" s="6"/>
      <c r="F963" s="6"/>
    </row>
    <row r="964" spans="3:6" ht="13.2" x14ac:dyDescent="0.25">
      <c r="C964" s="6"/>
      <c r="D964" s="6"/>
      <c r="E964" s="6"/>
      <c r="F964" s="6"/>
    </row>
    <row r="965" spans="3:6" ht="13.2" x14ac:dyDescent="0.25">
      <c r="C965" s="6"/>
      <c r="D965" s="6"/>
      <c r="E965" s="6"/>
      <c r="F965" s="6"/>
    </row>
    <row r="966" spans="3:6" ht="13.2" x14ac:dyDescent="0.25">
      <c r="C966" s="6"/>
      <c r="D966" s="6"/>
      <c r="E966" s="6"/>
      <c r="F966" s="6"/>
    </row>
    <row r="967" spans="3:6" ht="13.2" x14ac:dyDescent="0.25">
      <c r="C967" s="6"/>
      <c r="D967" s="6"/>
      <c r="E967" s="6"/>
      <c r="F967" s="6"/>
    </row>
    <row r="968" spans="3:6" ht="13.2" x14ac:dyDescent="0.25">
      <c r="C968" s="6"/>
      <c r="D968" s="6"/>
      <c r="E968" s="6"/>
      <c r="F968" s="6"/>
    </row>
    <row r="969" spans="3:6" ht="13.2" x14ac:dyDescent="0.25">
      <c r="C969" s="6"/>
      <c r="D969" s="6"/>
      <c r="E969" s="6"/>
      <c r="F969" s="6"/>
    </row>
    <row r="970" spans="3:6" ht="13.2" x14ac:dyDescent="0.25">
      <c r="C970" s="6"/>
      <c r="D970" s="6"/>
      <c r="E970" s="6"/>
      <c r="F970" s="6"/>
    </row>
    <row r="971" spans="3:6" ht="13.2" x14ac:dyDescent="0.25">
      <c r="C971" s="6"/>
      <c r="D971" s="6"/>
      <c r="E971" s="6"/>
      <c r="F971" s="6"/>
    </row>
    <row r="972" spans="3:6" ht="13.2" x14ac:dyDescent="0.25">
      <c r="C972" s="6"/>
      <c r="D972" s="6"/>
      <c r="E972" s="6"/>
      <c r="F972" s="6"/>
    </row>
    <row r="973" spans="3:6" ht="13.2" x14ac:dyDescent="0.25">
      <c r="C973" s="6"/>
      <c r="D973" s="6"/>
      <c r="E973" s="6"/>
      <c r="F973" s="6"/>
    </row>
    <row r="974" spans="3:6" ht="13.2" x14ac:dyDescent="0.25">
      <c r="C974" s="6"/>
      <c r="D974" s="6"/>
      <c r="E974" s="6"/>
      <c r="F974" s="6"/>
    </row>
    <row r="975" spans="3:6" ht="13.2" x14ac:dyDescent="0.25">
      <c r="C975" s="6"/>
      <c r="D975" s="6"/>
      <c r="E975" s="6"/>
      <c r="F975" s="6"/>
    </row>
    <row r="976" spans="3:6" ht="13.2" x14ac:dyDescent="0.25">
      <c r="C976" s="6"/>
      <c r="D976" s="6"/>
      <c r="E976" s="6"/>
      <c r="F976" s="6"/>
    </row>
    <row r="977" spans="3:6" ht="13.2" x14ac:dyDescent="0.25">
      <c r="C977" s="6"/>
      <c r="D977" s="6"/>
      <c r="E977" s="6"/>
      <c r="F977" s="6"/>
    </row>
    <row r="978" spans="3:6" ht="13.2" x14ac:dyDescent="0.25">
      <c r="C978" s="6"/>
      <c r="D978" s="6"/>
      <c r="E978" s="6"/>
      <c r="F978" s="6"/>
    </row>
    <row r="979" spans="3:6" ht="13.2" x14ac:dyDescent="0.25">
      <c r="C979" s="6"/>
      <c r="D979" s="6"/>
      <c r="E979" s="6"/>
      <c r="F979" s="6"/>
    </row>
    <row r="980" spans="3:6" ht="13.2" x14ac:dyDescent="0.25">
      <c r="C980" s="6"/>
      <c r="D980" s="6"/>
      <c r="E980" s="6"/>
      <c r="F980" s="6"/>
    </row>
    <row r="981" spans="3:6" ht="13.2" x14ac:dyDescent="0.25">
      <c r="C981" s="6"/>
      <c r="D981" s="6"/>
      <c r="E981" s="6"/>
      <c r="F981" s="6"/>
    </row>
    <row r="982" spans="3:6" ht="13.2" x14ac:dyDescent="0.25">
      <c r="C982" s="6"/>
      <c r="D982" s="6"/>
      <c r="E982" s="6"/>
      <c r="F982" s="6"/>
    </row>
    <row r="983" spans="3:6" ht="13.2" x14ac:dyDescent="0.25">
      <c r="C983" s="6"/>
      <c r="D983" s="6"/>
      <c r="E983" s="6"/>
      <c r="F983" s="6"/>
    </row>
    <row r="984" spans="3:6" ht="13.2" x14ac:dyDescent="0.25">
      <c r="C984" s="6"/>
      <c r="D984" s="6"/>
      <c r="E984" s="6"/>
      <c r="F984" s="6"/>
    </row>
    <row r="985" spans="3:6" ht="13.2" x14ac:dyDescent="0.25">
      <c r="C985" s="6"/>
      <c r="D985" s="6"/>
      <c r="E985" s="6"/>
      <c r="F985" s="6"/>
    </row>
    <row r="986" spans="3:6" ht="13.2" x14ac:dyDescent="0.25">
      <c r="C986" s="6"/>
      <c r="D986" s="6"/>
      <c r="E986" s="6"/>
      <c r="F986" s="6"/>
    </row>
    <row r="987" spans="3:6" ht="13.2" x14ac:dyDescent="0.25">
      <c r="C987" s="6"/>
      <c r="D987" s="6"/>
      <c r="E987" s="6"/>
      <c r="F987" s="6"/>
    </row>
    <row r="988" spans="3:6" ht="13.2" x14ac:dyDescent="0.25">
      <c r="C988" s="6"/>
      <c r="D988" s="6"/>
      <c r="E988" s="6"/>
      <c r="F988" s="6"/>
    </row>
    <row r="989" spans="3:6" ht="13.2" x14ac:dyDescent="0.25">
      <c r="C989" s="6"/>
      <c r="D989" s="6"/>
      <c r="E989" s="6"/>
      <c r="F989" s="6"/>
    </row>
    <row r="990" spans="3:6" ht="13.2" x14ac:dyDescent="0.25">
      <c r="C990" s="6"/>
      <c r="D990" s="6"/>
      <c r="E990" s="6"/>
      <c r="F990" s="6"/>
    </row>
    <row r="991" spans="3:6" ht="13.2" x14ac:dyDescent="0.25">
      <c r="C991" s="6"/>
      <c r="D991" s="6"/>
      <c r="E991" s="6"/>
      <c r="F991" s="6"/>
    </row>
    <row r="992" spans="3:6" ht="13.2" x14ac:dyDescent="0.25">
      <c r="C992" s="6"/>
      <c r="D992" s="6"/>
      <c r="E992" s="6"/>
      <c r="F992" s="6"/>
    </row>
    <row r="993" spans="3:6" ht="13.2" x14ac:dyDescent="0.25">
      <c r="C993" s="6"/>
      <c r="D993" s="6"/>
      <c r="E993" s="6"/>
      <c r="F993" s="6"/>
    </row>
    <row r="994" spans="3:6" ht="13.2" x14ac:dyDescent="0.25">
      <c r="C994" s="6"/>
      <c r="D994" s="6"/>
      <c r="E994" s="6"/>
      <c r="F994" s="6"/>
    </row>
    <row r="995" spans="3:6" ht="13.2" x14ac:dyDescent="0.25">
      <c r="C995" s="6"/>
      <c r="D995" s="6"/>
      <c r="E995" s="6"/>
      <c r="F995" s="6"/>
    </row>
    <row r="996" spans="3:6" ht="13.2" x14ac:dyDescent="0.25">
      <c r="C996" s="6"/>
      <c r="D996" s="6"/>
      <c r="E996" s="6"/>
      <c r="F996" s="6"/>
    </row>
    <row r="997" spans="3:6" ht="13.2" x14ac:dyDescent="0.25">
      <c r="C997" s="6"/>
      <c r="D997" s="6"/>
      <c r="E997" s="6"/>
      <c r="F997" s="6"/>
    </row>
    <row r="998" spans="3:6" ht="13.2" x14ac:dyDescent="0.25">
      <c r="C998" s="6"/>
      <c r="D998" s="6"/>
      <c r="E998" s="6"/>
      <c r="F998" s="6"/>
    </row>
    <row r="999" spans="3:6" ht="13.2" x14ac:dyDescent="0.25">
      <c r="C999" s="6"/>
      <c r="D999" s="6"/>
      <c r="E999" s="6"/>
      <c r="F999" s="6"/>
    </row>
    <row r="1000" spans="3:6" ht="13.2" x14ac:dyDescent="0.25">
      <c r="C1000" s="6"/>
      <c r="D1000" s="6"/>
      <c r="E1000" s="6"/>
      <c r="F1000" s="6"/>
    </row>
    <row r="1001" spans="3:6" ht="13.2" x14ac:dyDescent="0.25">
      <c r="C1001" s="6"/>
      <c r="D1001" s="6"/>
      <c r="E1001" s="6"/>
      <c r="F1001" s="6"/>
    </row>
    <row r="1002" spans="3:6" ht="13.2" x14ac:dyDescent="0.25">
      <c r="C1002" s="6"/>
      <c r="D1002" s="6"/>
      <c r="E1002" s="6"/>
      <c r="F1002" s="6"/>
    </row>
    <row r="1003" spans="3:6" ht="13.2" x14ac:dyDescent="0.25">
      <c r="C1003" s="6"/>
      <c r="D1003" s="6"/>
      <c r="E1003" s="6"/>
      <c r="F1003" s="6"/>
    </row>
    <row r="1004" spans="3:6" ht="13.2" x14ac:dyDescent="0.25">
      <c r="C1004" s="6"/>
      <c r="D1004" s="6"/>
      <c r="E1004" s="6"/>
      <c r="F1004" s="6"/>
    </row>
  </sheetData>
  <mergeCells count="8">
    <mergeCell ref="I66:K66"/>
    <mergeCell ref="A1:U3"/>
    <mergeCell ref="A4:U4"/>
    <mergeCell ref="C7:F7"/>
    <mergeCell ref="A7:A8"/>
    <mergeCell ref="B7:B8"/>
    <mergeCell ref="G7:G8"/>
    <mergeCell ref="I58:K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435"/>
  <sheetViews>
    <sheetView topLeftCell="C1" zoomScale="71" zoomScaleNormal="71" workbookViewId="0">
      <selection activeCell="L11" sqref="L11"/>
    </sheetView>
  </sheetViews>
  <sheetFormatPr defaultColWidth="12.6640625" defaultRowHeight="15.75" customHeight="1" x14ac:dyDescent="0.25"/>
  <cols>
    <col min="1" max="8" width="12.6640625" style="1"/>
    <col min="9" max="11" width="17.21875" style="1" customWidth="1"/>
    <col min="12" max="16384" width="12.6640625" style="1"/>
  </cols>
  <sheetData>
    <row r="1" spans="1:26" ht="15.75" customHeight="1" x14ac:dyDescent="0.25">
      <c r="C1" s="139" t="s">
        <v>429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1"/>
    </row>
    <row r="2" spans="1:26" ht="15.75" customHeight="1" x14ac:dyDescent="0.25">
      <c r="C2" s="142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</row>
    <row r="3" spans="1:26" ht="15.75" customHeight="1" x14ac:dyDescent="0.25"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</row>
    <row r="4" spans="1:26" ht="15.75" customHeight="1" x14ac:dyDescent="0.25">
      <c r="C4" s="121" t="s">
        <v>430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</row>
    <row r="7" spans="1:26" ht="18.600000000000001" customHeight="1" x14ac:dyDescent="0.25">
      <c r="A7" s="133" t="s">
        <v>39</v>
      </c>
      <c r="B7" s="135" t="s">
        <v>40</v>
      </c>
      <c r="C7" s="135" t="s">
        <v>2</v>
      </c>
      <c r="D7" s="135"/>
      <c r="E7" s="135"/>
      <c r="F7" s="135"/>
      <c r="G7" s="137" t="s">
        <v>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34"/>
      <c r="B8" s="136"/>
      <c r="C8" s="53" t="s">
        <v>4</v>
      </c>
      <c r="D8" s="53" t="s">
        <v>5</v>
      </c>
      <c r="E8" s="53" t="s">
        <v>6</v>
      </c>
      <c r="F8" s="7" t="s">
        <v>7</v>
      </c>
      <c r="G8" s="138"/>
      <c r="H8" s="2"/>
      <c r="I8" s="2"/>
      <c r="J8" s="2"/>
      <c r="K8" s="51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54">
        <v>1985</v>
      </c>
      <c r="B9" s="55"/>
      <c r="C9" s="56"/>
      <c r="D9" s="56"/>
      <c r="E9" s="56"/>
      <c r="F9" s="56"/>
      <c r="G9" s="54"/>
      <c r="H9" s="5"/>
      <c r="I9" s="5"/>
      <c r="J9" s="5"/>
      <c r="K9" s="2"/>
      <c r="L9" s="3"/>
      <c r="M9" s="52"/>
      <c r="N9" s="52"/>
      <c r="O9" s="52"/>
      <c r="P9" s="52"/>
      <c r="Q9" s="2"/>
      <c r="R9" s="5"/>
      <c r="S9" s="5"/>
      <c r="T9" s="5"/>
      <c r="U9" s="5"/>
      <c r="V9" s="5"/>
      <c r="W9" s="5"/>
      <c r="X9" s="5"/>
      <c r="Y9" s="5"/>
      <c r="Z9" s="5"/>
    </row>
    <row r="10" spans="1:26" ht="13.2" x14ac:dyDescent="0.25">
      <c r="A10" s="57" t="s">
        <v>41</v>
      </c>
      <c r="B10" s="58">
        <v>8</v>
      </c>
      <c r="C10" s="59">
        <f>153.6/1000</f>
        <v>0.15359999999999999</v>
      </c>
      <c r="D10" s="22">
        <f ca="1">IFERROR(__xludf.DUMMYFUNCTION("$C4*IMPORTRANGE(""https://docs.google.com/spreadsheets/d/1xsp01RMmkav9iTy39Zaj_7tE9677EGlOJ14KU9TZn7I/"",""1985-2003!H24"")"),0.217121279999999)</f>
        <v>0.217121279999999</v>
      </c>
      <c r="E10" s="22">
        <f ca="1">IFERROR(__xludf.DUMMYFUNCTION("$C4*IMPORTRANGE(""https://docs.google.com/spreadsheets/d/1xsp01RMmkav9iTy39Zaj_7tE9677EGlOJ14KU9TZn7I/"",""1985-2003!T24"")"),0.13652736)</f>
        <v>0.13652735999999999</v>
      </c>
      <c r="F10" s="22">
        <f ca="1">IFERROR(__xludf.DUMMYFUNCTION("$C4*IMPORTRANGE(""https://docs.google.com/spreadsheets/d/1xsp01RMmkav9iTy39Zaj_7tE9677EGlOJ14KU9TZn7I/"",""1985-2003!AC24"")"),39.06816)</f>
        <v>39.068159999999999</v>
      </c>
      <c r="G10" s="57" t="s">
        <v>8</v>
      </c>
      <c r="H10" s="5"/>
      <c r="I10" s="5"/>
      <c r="J10" s="5"/>
      <c r="K10" s="2"/>
      <c r="L10" s="3"/>
      <c r="M10" s="52"/>
      <c r="N10" s="52"/>
      <c r="O10" s="52"/>
      <c r="P10" s="52"/>
      <c r="Q10" s="2"/>
      <c r="R10" s="5"/>
      <c r="S10" s="5"/>
      <c r="T10" s="5"/>
      <c r="U10" s="5"/>
      <c r="V10" s="5"/>
      <c r="W10" s="5"/>
      <c r="X10" s="5"/>
      <c r="Y10" s="5"/>
      <c r="Z10" s="5"/>
    </row>
    <row r="11" spans="1:26" ht="13.2" x14ac:dyDescent="0.25">
      <c r="A11" s="60" t="s">
        <v>42</v>
      </c>
      <c r="B11" s="61">
        <v>3</v>
      </c>
      <c r="C11" s="62">
        <v>0</v>
      </c>
      <c r="D11" s="63">
        <f ca="1">IFERROR(__xludf.DUMMYFUNCTION("$C5*IMPORTRANGE(""https://docs.google.com/spreadsheets/d/1xsp01RMmkav9iTy39Zaj_7tE9677EGlOJ14KU9TZn7I/"",""1985-2003!H45"")"),0)</f>
        <v>0</v>
      </c>
      <c r="E11" s="63">
        <f ca="1">IFERROR(__xludf.DUMMYFUNCTION("$C5*IMPORTRANGE(""https://docs.google.com/spreadsheets/d/1xsp01RMmkav9iTy39Zaj_7tE9677EGlOJ14KU9TZn7I/"",""1985-2003!T45"")"),0)</f>
        <v>0</v>
      </c>
      <c r="F11" s="63">
        <f ca="1">IFERROR(__xludf.DUMMYFUNCTION("$C5*IMPORTRANGE(""https://docs.google.com/spreadsheets/d/1xsp01RMmkav9iTy39Zaj_7tE9677EGlOJ14KU9TZn7I/"",""1985-2003!AC45"")"),0)</f>
        <v>0</v>
      </c>
      <c r="G11" s="60" t="s">
        <v>8</v>
      </c>
      <c r="H11" s="5"/>
      <c r="I11" s="5"/>
      <c r="J11" s="5"/>
      <c r="K11" s="2"/>
      <c r="L11" s="3"/>
      <c r="M11" s="52"/>
      <c r="N11" s="52"/>
      <c r="O11" s="52"/>
      <c r="P11" s="52"/>
      <c r="Q11" s="2"/>
      <c r="R11" s="5"/>
      <c r="S11" s="5"/>
      <c r="T11" s="5"/>
      <c r="U11" s="5"/>
      <c r="V11" s="5"/>
      <c r="W11" s="5"/>
      <c r="X11" s="5"/>
      <c r="Y11" s="5"/>
      <c r="Z11" s="5"/>
    </row>
    <row r="12" spans="1:26" ht="13.2" x14ac:dyDescent="0.25">
      <c r="A12" s="57" t="s">
        <v>43</v>
      </c>
      <c r="B12" s="58">
        <v>4</v>
      </c>
      <c r="C12" s="59">
        <v>0</v>
      </c>
      <c r="D12" s="22">
        <f ca="1">IFERROR(__xludf.DUMMYFUNCTION("$C6*IMPORTRANGE(""https://docs.google.com/spreadsheets/d/1xsp01RMmkav9iTy39Zaj_7tE9677EGlOJ14KU9TZn7I/"",""1985-2003!H67"")"),0)</f>
        <v>0</v>
      </c>
      <c r="E12" s="22">
        <f ca="1">IFERROR(__xludf.DUMMYFUNCTION("$C6*IMPORTRANGE(""https://docs.google.com/spreadsheets/d/1xsp01RMmkav9iTy39Zaj_7tE9677EGlOJ14KU9TZn7I/"",""1985-2003!T67"")"),0)</f>
        <v>0</v>
      </c>
      <c r="F12" s="22">
        <f ca="1">IFERROR(__xludf.DUMMYFUNCTION("$C6*IMPORTRANGE(""https://docs.google.com/spreadsheets/d/1xsp01RMmkav9iTy39Zaj_7tE9677EGlOJ14KU9TZn7I/"",""1985-2003!AC67"")"),0)</f>
        <v>0</v>
      </c>
      <c r="G12" s="57" t="s">
        <v>8</v>
      </c>
      <c r="H12" s="5"/>
      <c r="I12" s="5"/>
      <c r="J12" s="5"/>
      <c r="K12" s="2"/>
      <c r="L12" s="3"/>
      <c r="M12" s="52"/>
      <c r="N12" s="52"/>
      <c r="O12" s="52"/>
      <c r="P12" s="52"/>
      <c r="Q12" s="2"/>
      <c r="R12" s="5"/>
      <c r="S12" s="5"/>
      <c r="T12" s="5"/>
      <c r="U12" s="5"/>
      <c r="V12" s="5"/>
      <c r="W12" s="5"/>
      <c r="X12" s="5"/>
      <c r="Y12" s="5"/>
      <c r="Z12" s="5"/>
    </row>
    <row r="13" spans="1:26" ht="13.2" x14ac:dyDescent="0.25">
      <c r="A13" s="60" t="s">
        <v>44</v>
      </c>
      <c r="B13" s="61">
        <v>7</v>
      </c>
      <c r="C13" s="62">
        <f>2522/1000</f>
        <v>2.5219999999999998</v>
      </c>
      <c r="D13" s="63">
        <f ca="1">IFERROR(__xludf.DUMMYFUNCTION("$C7*IMPORTRANGE(""https://docs.google.com/spreadsheets/d/1xsp01RMmkav9iTy39Zaj_7tE9677EGlOJ14KU9TZn7I/"",""1985-2003!H90"")"),3.5171812)</f>
        <v>3.5171812</v>
      </c>
      <c r="E13" s="63">
        <f ca="1">IFERROR(__xludf.DUMMYFUNCTION("$C7*IMPORTRANGE(""https://docs.google.com/spreadsheets/d/1xsp01RMmkav9iTy39Zaj_7tE9677EGlOJ14KU9TZn7I/"",""1985-2003!T90"")"),2.0464769)</f>
        <v>2.0464769</v>
      </c>
      <c r="F13" s="63">
        <f ca="1">IFERROR(__xludf.DUMMYFUNCTION("$C7*IMPORTRANGE(""https://docs.google.com/spreadsheets/d/1xsp01RMmkav9iTy39Zaj_7tE9677EGlOJ14KU9TZn7I/"",""1985-2003!AC90"")"),635.607049999999)</f>
        <v>635.60704999999905</v>
      </c>
      <c r="G13" s="60" t="s">
        <v>8</v>
      </c>
      <c r="H13" s="5"/>
      <c r="I13" s="5"/>
      <c r="J13" s="5"/>
      <c r="K13" s="2"/>
      <c r="L13" s="3"/>
      <c r="M13" s="52"/>
      <c r="N13" s="52"/>
      <c r="O13" s="52"/>
      <c r="P13" s="52"/>
      <c r="Q13" s="2"/>
      <c r="R13" s="5"/>
      <c r="S13" s="5"/>
      <c r="T13" s="5"/>
      <c r="U13" s="5"/>
      <c r="V13" s="5"/>
      <c r="W13" s="5"/>
      <c r="X13" s="5"/>
      <c r="Y13" s="5"/>
      <c r="Z13" s="5"/>
    </row>
    <row r="14" spans="1:26" ht="13.2" x14ac:dyDescent="0.25">
      <c r="A14" s="57" t="s">
        <v>45</v>
      </c>
      <c r="B14" s="58">
        <v>9</v>
      </c>
      <c r="C14" s="59">
        <f>1657.6/1000</f>
        <v>1.6576</v>
      </c>
      <c r="D14" s="22">
        <f ca="1">IFERROR(__xludf.DUMMYFUNCTION("$C8*IMPORTRANGE(""https://docs.google.com/spreadsheets/d/1xsp01RMmkav9iTy39Zaj_7tE9677EGlOJ14KU9TZn7I/"",""1985-2003!H113"")"),2.30141184)</f>
        <v>2.3014118400000001</v>
      </c>
      <c r="E14" s="22">
        <f ca="1">IFERROR(__xludf.DUMMYFUNCTION("$C8*IMPORTRANGE(""https://docs.google.com/spreadsheets/d/1xsp01RMmkav9iTy39Zaj_7tE9677EGlOJ14KU9TZn7I/"",""1985-2003!T113"")"),1.31961536)</f>
        <v>1.31961536</v>
      </c>
      <c r="F14" s="22">
        <f ca="1">IFERROR(__xludf.DUMMYFUNCTION("$C8*IMPORTRANGE(""https://docs.google.com/spreadsheets/d/1xsp01RMmkav9iTy39Zaj_7tE9677EGlOJ14KU9TZn7I/"",""1985-2003!AC113"")"),416.92784)</f>
        <v>416.92784</v>
      </c>
      <c r="G14" s="57" t="s">
        <v>8</v>
      </c>
      <c r="H14" s="5"/>
      <c r="I14" s="5"/>
      <c r="J14" s="5"/>
      <c r="K14" s="2"/>
      <c r="L14" s="3"/>
      <c r="M14" s="52"/>
      <c r="N14" s="52"/>
      <c r="O14" s="52"/>
      <c r="P14" s="52"/>
      <c r="Q14" s="2"/>
      <c r="R14" s="5"/>
      <c r="S14" s="5"/>
      <c r="T14" s="5"/>
      <c r="U14" s="5"/>
      <c r="V14" s="5"/>
      <c r="W14" s="5"/>
      <c r="X14" s="5"/>
      <c r="Y14" s="5"/>
      <c r="Z14" s="5"/>
    </row>
    <row r="15" spans="1:26" ht="13.2" x14ac:dyDescent="0.25">
      <c r="A15" s="60" t="s">
        <v>46</v>
      </c>
      <c r="B15" s="61">
        <v>16</v>
      </c>
      <c r="C15" s="62">
        <f>1142.1/1000</f>
        <v>1.1420999999999999</v>
      </c>
      <c r="D15" s="63">
        <f ca="1">IFERROR(__xludf.DUMMYFUNCTION("$C9*IMPORTRANGE(""https://docs.google.com/spreadsheets/d/1xsp01RMmkav9iTy39Zaj_7tE9677EGlOJ14KU9TZn7I/"",""1985-2003!H134"")"),1.5749559)</f>
        <v>1.5749559</v>
      </c>
      <c r="E15" s="63">
        <f ca="1">IFERROR(__xludf.DUMMYFUNCTION("$C9*IMPORTRANGE(""https://docs.google.com/spreadsheets/d/1xsp01RMmkav9iTy39Zaj_7tE9677EGlOJ14KU9TZn7I/"",""1985-2003!T134"")"),0.892836674999999)</f>
        <v>0.89283667499999897</v>
      </c>
      <c r="F15" s="63">
        <f ca="1">IFERROR(__xludf.DUMMYFUNCTION("$C9*IMPORTRANGE(""https://docs.google.com/spreadsheets/d/1xsp01RMmkav9iTy39Zaj_7tE9677EGlOJ14KU9TZn7I/"",""1985-2003!AC134"")"),284.1259275)</f>
        <v>284.12592749999999</v>
      </c>
      <c r="G15" s="60" t="s">
        <v>8</v>
      </c>
      <c r="H15" s="5"/>
      <c r="I15" s="5"/>
      <c r="J15" s="5"/>
      <c r="K15" s="2"/>
      <c r="L15" s="3"/>
      <c r="M15" s="52"/>
      <c r="N15" s="52"/>
      <c r="O15" s="52"/>
      <c r="P15" s="52"/>
      <c r="Q15" s="2"/>
      <c r="R15" s="5"/>
      <c r="S15" s="5"/>
      <c r="T15" s="5"/>
      <c r="U15" s="5"/>
      <c r="V15" s="5"/>
      <c r="W15" s="5"/>
      <c r="X15" s="5"/>
      <c r="Y15" s="5"/>
      <c r="Z15" s="5"/>
    </row>
    <row r="16" spans="1:26" ht="13.2" x14ac:dyDescent="0.25">
      <c r="A16" s="57" t="s">
        <v>47</v>
      </c>
      <c r="B16" s="58">
        <v>4</v>
      </c>
      <c r="C16" s="59">
        <f>412.3/1000</f>
        <v>0.4123</v>
      </c>
      <c r="D16" s="22">
        <f ca="1">IFERROR(__xludf.DUMMYFUNCTION("$C10*IMPORTRANGE(""https://docs.google.com/spreadsheets/d/1xsp01RMmkav9iTy39Zaj_7tE9677EGlOJ14KU9TZn7I/"",""1985-2003!H158"")"),0.5380515)</f>
        <v>0.53805150000000002</v>
      </c>
      <c r="E16" s="22">
        <f ca="1">IFERROR(__xludf.DUMMYFUNCTION("$C10*IMPORTRANGE(""https://docs.google.com/spreadsheets/d/1xsp01RMmkav9iTy39Zaj_7tE9677EGlOJ14KU9TZn7I/"",""1985-2003!T158"")"),0.29673231)</f>
        <v>0.29673231</v>
      </c>
      <c r="F16" s="22">
        <f ca="1">IFERROR(__xludf.DUMMYFUNCTION("$C10*IMPORTRANGE(""https://docs.google.com/spreadsheets/d/1xsp01RMmkav9iTy39Zaj_7tE9677EGlOJ14KU9TZn7I/"",""1985-2003!AC158"")"),98.74585)</f>
        <v>98.745850000000004</v>
      </c>
      <c r="G16" s="57" t="s">
        <v>8</v>
      </c>
      <c r="H16" s="5"/>
      <c r="I16" s="5"/>
      <c r="J16" s="5"/>
      <c r="K16" s="2"/>
      <c r="L16" s="3"/>
      <c r="M16" s="52"/>
      <c r="N16" s="52"/>
      <c r="O16" s="52"/>
      <c r="P16" s="52"/>
      <c r="Q16" s="2"/>
      <c r="R16" s="5"/>
      <c r="S16" s="5"/>
      <c r="T16" s="5"/>
      <c r="U16" s="5"/>
      <c r="V16" s="5"/>
      <c r="W16" s="5"/>
      <c r="X16" s="5"/>
      <c r="Y16" s="5"/>
      <c r="Z16" s="5"/>
    </row>
    <row r="17" spans="1:26" ht="13.2" x14ac:dyDescent="0.25">
      <c r="A17" s="60" t="s">
        <v>48</v>
      </c>
      <c r="B17" s="61">
        <v>7</v>
      </c>
      <c r="C17" s="62">
        <f>325.5/1000</f>
        <v>0.32550000000000001</v>
      </c>
      <c r="D17" s="63">
        <f ca="1">IFERROR(__xludf.DUMMYFUNCTION("$C11*IMPORTRANGE(""https://docs.google.com/spreadsheets/d/1xsp01RMmkav9iTy39Zaj_7tE9677EGlOJ14KU9TZn7I/"",""1985-2003!H181"")"),0.4118226)</f>
        <v>0.41182259999999998</v>
      </c>
      <c r="E17" s="63">
        <f ca="1">IFERROR(__xludf.DUMMYFUNCTION("$C11*IMPORTRANGE(""https://docs.google.com/spreadsheets/d/1xsp01RMmkav9iTy39Zaj_7tE9677EGlOJ14KU9TZn7I/"",""1985-2003!T181"")"),0.2344251)</f>
        <v>0.2344251</v>
      </c>
      <c r="F17" s="63">
        <f ca="1">IFERROR(__xludf.DUMMYFUNCTION("$C11*IMPORTRANGE(""https://docs.google.com/spreadsheets/d/1xsp01RMmkav9iTy39Zaj_7tE9677EGlOJ14KU9TZn7I/"",""1985-2003!AC181"")"),77.2623075)</f>
        <v>77.262307500000006</v>
      </c>
      <c r="G17" s="60" t="s">
        <v>8</v>
      </c>
      <c r="H17" s="5"/>
      <c r="I17" s="5"/>
      <c r="J17" s="5"/>
      <c r="K17" s="2"/>
      <c r="L17" s="3"/>
      <c r="M17" s="52"/>
      <c r="N17" s="52"/>
      <c r="O17" s="52"/>
      <c r="P17" s="52"/>
      <c r="Q17" s="2"/>
      <c r="R17" s="5"/>
      <c r="S17" s="5"/>
      <c r="T17" s="5"/>
      <c r="U17" s="5"/>
      <c r="V17" s="5"/>
      <c r="W17" s="5"/>
      <c r="X17" s="5"/>
      <c r="Y17" s="5"/>
      <c r="Z17" s="5"/>
    </row>
    <row r="18" spans="1:26" ht="13.2" x14ac:dyDescent="0.25">
      <c r="A18" s="57" t="s">
        <v>49</v>
      </c>
      <c r="B18" s="58">
        <v>2</v>
      </c>
      <c r="C18" s="59">
        <f>23.4/1000</f>
        <v>2.3399999999999997E-2</v>
      </c>
      <c r="D18" s="22">
        <f ca="1">IFERROR(__xludf.DUMMYFUNCTION("$C12*IMPORTRANGE(""https://docs.google.com/spreadsheets/d/1xsp01RMmkav9iTy39Zaj_7tE9677EGlOJ14KU9TZn7I/"",""1985-2003!H203"")"),0.0304199999999999)</f>
        <v>3.0419999999999899E-2</v>
      </c>
      <c r="E18" s="22">
        <f ca="1">IFERROR(__xludf.DUMMYFUNCTION("$C12*IMPORTRANGE(""https://docs.google.com/spreadsheets/d/1xsp01RMmkav9iTy39Zaj_7tE9677EGlOJ14KU9TZn7I/"",""1985-2003!T203"")"),0.0171124199999999)</f>
        <v>1.7112419999999899E-2</v>
      </c>
      <c r="F18" s="22">
        <f ca="1">IFERROR(__xludf.DUMMYFUNCTION("$C12*IMPORTRANGE(""https://docs.google.com/spreadsheets/d/1xsp01RMmkav9iTy39Zaj_7tE9677EGlOJ14KU9TZn7I/"",""1985-2003!AC203"")"),5.63296499999999)</f>
        <v>5.6329649999999898</v>
      </c>
      <c r="G18" s="57" t="s">
        <v>8</v>
      </c>
      <c r="H18" s="5"/>
      <c r="I18" s="5"/>
      <c r="J18" s="5"/>
      <c r="K18" s="2"/>
      <c r="L18" s="3"/>
      <c r="M18" s="52"/>
      <c r="N18" s="52"/>
      <c r="O18" s="52"/>
      <c r="P18" s="52"/>
      <c r="Q18" s="2"/>
      <c r="R18" s="5"/>
      <c r="S18" s="5"/>
      <c r="T18" s="5"/>
      <c r="U18" s="5"/>
      <c r="V18" s="5"/>
      <c r="W18" s="5"/>
      <c r="X18" s="5"/>
      <c r="Y18" s="5"/>
      <c r="Z18" s="5"/>
    </row>
    <row r="19" spans="1:26" ht="13.2" x14ac:dyDescent="0.25">
      <c r="A19" s="60" t="s">
        <v>50</v>
      </c>
      <c r="B19" s="61">
        <v>7</v>
      </c>
      <c r="C19" s="62">
        <f>130.8/1000</f>
        <v>0.1308</v>
      </c>
      <c r="D19" s="63">
        <f ca="1">IFERROR(__xludf.DUMMYFUNCTION("$C13*IMPORTRANGE(""https://docs.google.com/spreadsheets/d/1xsp01RMmkav9iTy39Zaj_7tE9677EGlOJ14KU9TZn7I/"",""1985-2003!H227"")"),0.15778404)</f>
        <v>0.15778403999999999</v>
      </c>
      <c r="E19" s="63">
        <f ca="1">IFERROR(__xludf.DUMMYFUNCTION("$C13*IMPORTRANGE(""https://docs.google.com/spreadsheets/d/1xsp01RMmkav9iTy39Zaj_7tE9677EGlOJ14KU9TZn7I/"",""1985-2003!T227"")"),0.0922139999999999)</f>
        <v>9.2213999999999893E-2</v>
      </c>
      <c r="F19" s="63">
        <f ca="1">IFERROR(__xludf.DUMMYFUNCTION("$C13*IMPORTRANGE(""https://docs.google.com/spreadsheets/d/1xsp01RMmkav9iTy39Zaj_7tE9677EGlOJ14KU9TZn7I/"",""1985-2003!AC227"")"),28.1318099999999)</f>
        <v>28.131809999999899</v>
      </c>
      <c r="G19" s="60" t="s">
        <v>8</v>
      </c>
      <c r="H19" s="5"/>
      <c r="I19" s="5"/>
      <c r="J19" s="5"/>
      <c r="K19" s="2"/>
      <c r="L19" s="3"/>
      <c r="M19" s="52"/>
      <c r="N19" s="52"/>
      <c r="O19" s="52"/>
      <c r="P19" s="52"/>
      <c r="Q19" s="2"/>
      <c r="R19" s="5"/>
      <c r="S19" s="5"/>
      <c r="T19" s="5"/>
      <c r="U19" s="5"/>
      <c r="V19" s="5"/>
      <c r="W19" s="5"/>
      <c r="X19" s="5"/>
      <c r="Y19" s="5"/>
      <c r="Z19" s="5"/>
    </row>
    <row r="20" spans="1:26" ht="13.2" x14ac:dyDescent="0.25">
      <c r="A20" s="57" t="s">
        <v>51</v>
      </c>
      <c r="B20" s="58">
        <v>12</v>
      </c>
      <c r="C20" s="59">
        <f>6243.4/1000</f>
        <v>6.2433999999999994</v>
      </c>
      <c r="D20" s="22">
        <f ca="1">IFERROR(__xludf.DUMMYFUNCTION("$C14*IMPORTRANGE(""https://docs.google.com/spreadsheets/d/1xsp01RMmkav9iTy39Zaj_7tE9677EGlOJ14KU9TZn7I/"",""1985-2003!H249"")"),7.43464072)</f>
        <v>7.43464072</v>
      </c>
      <c r="E20" s="22">
        <f ca="1">IFERROR(__xludf.DUMMYFUNCTION("$C14*IMPORTRANGE(""https://docs.google.com/spreadsheets/d/1xsp01RMmkav9iTy39Zaj_7tE9677EGlOJ14KU9TZn7I/"",""1985-2003!T249"")"),4.35040111999999)</f>
        <v>4.3504011199999901</v>
      </c>
      <c r="F20" s="22">
        <f ca="1">IFERROR(__xludf.DUMMYFUNCTION("$C14*IMPORTRANGE(""https://docs.google.com/spreadsheets/d/1xsp01RMmkav9iTy39Zaj_7tE9677EGlOJ14KU9TZn7I/"",""1985-2003!AC249"")"),1270.21972999999)</f>
        <v>1270.21972999999</v>
      </c>
      <c r="G20" s="57" t="s">
        <v>8</v>
      </c>
      <c r="H20" s="5"/>
      <c r="I20" s="5"/>
      <c r="J20" s="5"/>
      <c r="K20" s="2"/>
      <c r="L20" s="3"/>
      <c r="M20" s="52"/>
      <c r="N20" s="52"/>
      <c r="O20" s="52"/>
      <c r="P20" s="52"/>
      <c r="Q20" s="2"/>
      <c r="R20" s="5"/>
      <c r="S20" s="5"/>
      <c r="T20" s="5"/>
      <c r="U20" s="5"/>
      <c r="V20" s="5"/>
      <c r="W20" s="5"/>
      <c r="X20" s="5"/>
      <c r="Y20" s="5"/>
      <c r="Z20" s="5"/>
    </row>
    <row r="21" spans="1:26" ht="13.2" x14ac:dyDescent="0.25">
      <c r="A21" s="64" t="s">
        <v>52</v>
      </c>
      <c r="B21" s="65">
        <v>38</v>
      </c>
      <c r="C21" s="66">
        <f>1114.6/1000</f>
        <v>1.1145999999999998</v>
      </c>
      <c r="D21" s="67">
        <f ca="1">IFERROR(__xludf.DUMMYFUNCTION("$C15*IMPORTRANGE(""https://docs.google.com/spreadsheets/d/1xsp01RMmkav9iTy39Zaj_7tE9677EGlOJ14KU9TZn7I/"",""1985-2003!H271"")"),1.28641558999999)</f>
        <v>1.2864155899999901</v>
      </c>
      <c r="E21" s="67">
        <f ca="1">IFERROR(__xludf.DUMMYFUNCTION("$C15*IMPORTRANGE(""https://docs.google.com/spreadsheets/d/1xsp01RMmkav9iTy39Zaj_7tE9677EGlOJ14KU9TZn7I/"",""1985-2003!T271"")"),0.775650139999999)</f>
        <v>0.77565013999999899</v>
      </c>
      <c r="F21" s="67">
        <f ca="1">IFERROR(__xludf.DUMMYFUNCTION("$C15*IMPORTRANGE(""https://docs.google.com/spreadsheets/d/1xsp01RMmkav9iTy39Zaj_7tE9677EGlOJ14KU9TZn7I/"",""1985-2003!AC271"")"),226.04088)</f>
        <v>226.04087999999999</v>
      </c>
      <c r="G21" s="64" t="s">
        <v>8</v>
      </c>
      <c r="H21" s="5"/>
      <c r="I21" s="5"/>
      <c r="J21" s="5"/>
      <c r="K21" s="2"/>
      <c r="L21" s="3"/>
      <c r="M21" s="52"/>
      <c r="N21" s="52"/>
      <c r="O21" s="52"/>
      <c r="P21" s="52"/>
      <c r="Q21" s="2"/>
      <c r="R21" s="5"/>
      <c r="S21" s="5"/>
      <c r="T21" s="5"/>
      <c r="U21" s="5"/>
      <c r="V21" s="5"/>
      <c r="W21" s="5"/>
      <c r="X21" s="5"/>
      <c r="Y21" s="5"/>
      <c r="Z21" s="5"/>
    </row>
    <row r="22" spans="1:26" ht="13.2" x14ac:dyDescent="0.25">
      <c r="A22" s="68">
        <v>1986</v>
      </c>
      <c r="B22" s="69"/>
      <c r="C22" s="70"/>
      <c r="D22" s="70"/>
      <c r="E22" s="70"/>
      <c r="F22" s="70"/>
      <c r="G22" s="68"/>
      <c r="H22" s="5"/>
      <c r="I22" s="5"/>
      <c r="J22" s="5"/>
      <c r="K22" s="2"/>
      <c r="L22" s="3"/>
      <c r="M22" s="52"/>
      <c r="N22" s="52"/>
      <c r="O22" s="52"/>
      <c r="P22" s="52"/>
      <c r="Q22" s="2"/>
      <c r="R22" s="5"/>
      <c r="S22" s="5"/>
      <c r="T22" s="5"/>
      <c r="U22" s="5"/>
      <c r="V22" s="5"/>
      <c r="W22" s="5"/>
      <c r="X22" s="5"/>
      <c r="Y22" s="5"/>
      <c r="Z22" s="5"/>
    </row>
    <row r="23" spans="1:26" ht="13.2" x14ac:dyDescent="0.25">
      <c r="A23" s="57" t="s">
        <v>53</v>
      </c>
      <c r="B23" s="58">
        <v>12</v>
      </c>
      <c r="C23" s="59">
        <f>3566.9/1000</f>
        <v>3.5669</v>
      </c>
      <c r="D23" s="71">
        <f ca="1">IFERROR(__xludf.DUMMYFUNCTION("$C17*IMPORTRANGE(""https://docs.google.com/spreadsheets/d/1xsp01RMmkav9iTy39Zaj_7tE9677EGlOJ14KU9TZn7I/"",""1985-2003!H295"")"),4.01490264)</f>
        <v>4.0149026399999999</v>
      </c>
      <c r="E23" s="71">
        <f ca="1">IFERROR(__xludf.DUMMYFUNCTION("$C17*IMPORTRANGE(""https://docs.google.com/spreadsheets/d/1xsp01RMmkav9iTy39Zaj_7tE9677EGlOJ14KU9TZn7I/"",""1985-2003!T295"")"),2.4825624)</f>
        <v>2.4825623999999999</v>
      </c>
      <c r="F23" s="71">
        <f ca="1">IFERROR(__xludf.DUMMYFUNCTION("$C17*IMPORTRANGE(""https://docs.google.com/spreadsheets/d/1xsp01RMmkav9iTy39Zaj_7tE9677EGlOJ14KU9TZn7I/"",""1985-2003!AC295"")"),720.692145)</f>
        <v>720.69214499999998</v>
      </c>
      <c r="G23" s="57" t="s">
        <v>8</v>
      </c>
      <c r="H23" s="5"/>
      <c r="I23" s="5"/>
      <c r="J23" s="5"/>
      <c r="K23" s="2"/>
      <c r="L23" s="3"/>
      <c r="M23" s="52"/>
      <c r="N23" s="52"/>
      <c r="O23" s="52"/>
      <c r="P23" s="52"/>
      <c r="Q23" s="2"/>
      <c r="R23" s="5"/>
      <c r="S23" s="5"/>
      <c r="T23" s="5"/>
      <c r="U23" s="5"/>
      <c r="V23" s="5"/>
      <c r="W23" s="5"/>
      <c r="X23" s="5"/>
      <c r="Y23" s="5"/>
      <c r="Z23" s="5"/>
    </row>
    <row r="24" spans="1:26" ht="13.2" x14ac:dyDescent="0.25">
      <c r="A24" s="72" t="s">
        <v>54</v>
      </c>
      <c r="B24" s="73">
        <v>5</v>
      </c>
      <c r="C24" s="74">
        <f>929.5/1000</f>
        <v>0.92949999999999999</v>
      </c>
      <c r="D24" s="75">
        <f ca="1">IFERROR(__xludf.DUMMYFUNCTION("$C18*IMPORTRANGE(""https://docs.google.com/spreadsheets/d/1xsp01RMmkav9iTy39Zaj_7tE9677EGlOJ14KU9TZn7I/"",""1985-2003!H316"")"),1.0029305)</f>
        <v>1.0029304999999999</v>
      </c>
      <c r="E24" s="75">
        <f ca="1">IFERROR(__xludf.DUMMYFUNCTION("$C18*IMPORTRANGE(""https://docs.google.com/spreadsheets/d/1xsp01RMmkav9iTy39Zaj_7tE9677EGlOJ14KU9TZn7I/"",""1985-2003!T316"")"),0.6551116)</f>
        <v>0.65511160000000002</v>
      </c>
      <c r="F24" s="75">
        <f ca="1">IFERROR(__xludf.DUMMYFUNCTION("$C18*IMPORTRANGE(""https://docs.google.com/spreadsheets/d/1xsp01RMmkav9iTy39Zaj_7tE9677EGlOJ14KU9TZn7I/"",""1985-2003!AC316"")"),169.44785)</f>
        <v>169.44784999999999</v>
      </c>
      <c r="G24" s="72" t="s">
        <v>8</v>
      </c>
      <c r="H24" s="5"/>
      <c r="I24" s="5"/>
      <c r="J24" s="5"/>
      <c r="K24" s="2"/>
      <c r="L24" s="3"/>
      <c r="M24" s="52"/>
      <c r="N24" s="52"/>
      <c r="O24" s="52"/>
      <c r="P24" s="52"/>
      <c r="Q24" s="2"/>
      <c r="R24" s="5"/>
      <c r="S24" s="5"/>
      <c r="T24" s="5"/>
      <c r="U24" s="5"/>
      <c r="V24" s="5"/>
      <c r="W24" s="5"/>
      <c r="X24" s="5"/>
      <c r="Y24" s="5"/>
      <c r="Z24" s="5"/>
    </row>
    <row r="25" spans="1:26" ht="13.2" x14ac:dyDescent="0.25">
      <c r="A25" s="57" t="s">
        <v>55</v>
      </c>
      <c r="B25" s="58">
        <v>10</v>
      </c>
      <c r="C25" s="59">
        <f>639.7/1000</f>
        <v>0.63970000000000005</v>
      </c>
      <c r="D25" s="71">
        <f ca="1">IFERROR(__xludf.DUMMYFUNCTION("$C19*IMPORTRANGE(""https://docs.google.com/spreadsheets/d/1xsp01RMmkav9iTy39Zaj_7tE9677EGlOJ14KU9TZn7I/"",""1985-2003!H338"")"),0.66522403)</f>
        <v>0.66522402999999997</v>
      </c>
      <c r="E25" s="71">
        <f ca="1">IFERROR(__xludf.DUMMYFUNCTION("$C19*IMPORTRANGE(""https://docs.google.com/spreadsheets/d/1xsp01RMmkav9iTy39Zaj_7tE9677EGlOJ14KU9TZn7I/"",""1985-2003!T338"")"),0.43646731)</f>
        <v>0.43646731</v>
      </c>
      <c r="F25" s="71">
        <f ca="1">IFERROR(__xludf.DUMMYFUNCTION("$C19*IMPORTRANGE(""https://docs.google.com/spreadsheets/d/1xsp01RMmkav9iTy39Zaj_7tE9677EGlOJ14KU9TZn7I/"",""1985-2003!AC338"")"),114.794165)</f>
        <v>114.79416500000001</v>
      </c>
      <c r="G25" s="57" t="s">
        <v>8</v>
      </c>
      <c r="H25" s="5"/>
      <c r="I25" s="5"/>
      <c r="J25" s="5"/>
      <c r="K25" s="2"/>
      <c r="L25" s="3"/>
      <c r="M25" s="52"/>
      <c r="N25" s="52"/>
      <c r="O25" s="52"/>
      <c r="P25" s="52"/>
      <c r="Q25" s="2"/>
      <c r="R25" s="5"/>
      <c r="S25" s="5"/>
      <c r="T25" s="5"/>
      <c r="U25" s="5"/>
      <c r="V25" s="5"/>
      <c r="W25" s="5"/>
      <c r="X25" s="5"/>
      <c r="Y25" s="5"/>
      <c r="Z25" s="5"/>
    </row>
    <row r="26" spans="1:26" ht="13.2" x14ac:dyDescent="0.25">
      <c r="A26" s="72" t="s">
        <v>56</v>
      </c>
      <c r="B26" s="73">
        <v>6</v>
      </c>
      <c r="C26" s="74">
        <f>713.1/1000</f>
        <v>0.71310000000000007</v>
      </c>
      <c r="D26" s="75">
        <f ca="1">IFERROR(__xludf.DUMMYFUNCTION("$C20*IMPORTRANGE(""https://docs.google.com/spreadsheets/d/1xsp01RMmkav9iTy39Zaj_7tE9677EGlOJ14KU9TZn7I/"",""1985-2003!H361"")"),0.753069255)</f>
        <v>0.75306925499999999</v>
      </c>
      <c r="E26" s="75">
        <f ca="1">IFERROR(__xludf.DUMMYFUNCTION("$C20*IMPORTRANGE(""https://docs.google.com/spreadsheets/d/1xsp01RMmkav9iTy39Zaj_7tE9677EGlOJ14KU9TZn7I/"",""1985-2003!T361"")"),0.477670035)</f>
        <v>0.47767003499999999</v>
      </c>
      <c r="F26" s="75">
        <f ca="1">IFERROR(__xludf.DUMMYFUNCTION("$C20*IMPORTRANGE(""https://docs.google.com/spreadsheets/d/1xsp01RMmkav9iTy39Zaj_7tE9677EGlOJ14KU9TZn7I/"",""1985-2003!AC361"")"),126.4504575)</f>
        <v>126.4504575</v>
      </c>
      <c r="G26" s="72" t="s">
        <v>8</v>
      </c>
      <c r="H26" s="5"/>
      <c r="I26" s="5"/>
      <c r="J26" s="5"/>
      <c r="K26" s="2"/>
      <c r="L26" s="3"/>
      <c r="M26" s="52"/>
      <c r="N26" s="52"/>
      <c r="O26" s="52"/>
      <c r="P26" s="52"/>
      <c r="Q26" s="2"/>
      <c r="R26" s="5"/>
      <c r="S26" s="5"/>
      <c r="T26" s="5"/>
      <c r="U26" s="5"/>
      <c r="V26" s="5"/>
      <c r="W26" s="5"/>
      <c r="X26" s="5"/>
      <c r="Y26" s="5"/>
      <c r="Z26" s="5"/>
    </row>
    <row r="27" spans="1:26" ht="13.2" x14ac:dyDescent="0.25">
      <c r="A27" s="57" t="s">
        <v>57</v>
      </c>
      <c r="B27" s="58">
        <v>8</v>
      </c>
      <c r="C27" s="59">
        <f>1334.7/1000</f>
        <v>1.3347</v>
      </c>
      <c r="D27" s="71">
        <f ca="1">IFERROR(__xludf.DUMMYFUNCTION("$C21*IMPORTRANGE(""https://docs.google.com/spreadsheets/d/1xsp01RMmkav9iTy39Zaj_7tE9677EGlOJ14KU9TZn7I/"",""1985-2003!H383"")"),1.37033649)</f>
        <v>1.3703364899999999</v>
      </c>
      <c r="E27" s="71">
        <f ca="1">IFERROR(__xludf.DUMMYFUNCTION("$C21*IMPORTRANGE(""https://docs.google.com/spreadsheets/d/1xsp01RMmkav9iTy39Zaj_7tE9677EGlOJ14KU9TZn7I/"",""1985-2003!T383"")"),0.875096055)</f>
        <v>0.87509605499999998</v>
      </c>
      <c r="F27" s="71">
        <f ca="1">IFERROR(__xludf.DUMMYFUNCTION("$C21*IMPORTRANGE(""https://docs.google.com/spreadsheets/d/1xsp01RMmkav9iTy39Zaj_7tE9677EGlOJ14KU9TZn7I/"",""1985-2003!AC383"")"),224.429805)</f>
        <v>224.42980499999999</v>
      </c>
      <c r="G27" s="57" t="s">
        <v>8</v>
      </c>
      <c r="H27" s="5"/>
      <c r="I27" s="5"/>
      <c r="J27" s="5"/>
      <c r="K27" s="2"/>
      <c r="L27" s="3"/>
      <c r="M27" s="52"/>
      <c r="N27" s="52"/>
      <c r="O27" s="52"/>
      <c r="P27" s="52"/>
      <c r="Q27" s="2"/>
      <c r="R27" s="5"/>
      <c r="S27" s="5"/>
      <c r="T27" s="5"/>
      <c r="U27" s="5"/>
      <c r="V27" s="5"/>
      <c r="W27" s="5"/>
      <c r="X27" s="5"/>
      <c r="Y27" s="5"/>
      <c r="Z27" s="5"/>
    </row>
    <row r="28" spans="1:26" ht="13.2" x14ac:dyDescent="0.25">
      <c r="A28" s="72" t="s">
        <v>58</v>
      </c>
      <c r="B28" s="73">
        <v>17</v>
      </c>
      <c r="C28" s="74">
        <f>625.9/1000</f>
        <v>0.62590000000000001</v>
      </c>
      <c r="D28" s="75">
        <f ca="1">IFERROR(__xludf.DUMMYFUNCTION("$C22*IMPORTRANGE(""https://docs.google.com/spreadsheets/d/1xsp01RMmkav9iTy39Zaj_7tE9677EGlOJ14KU9TZn7I/"",""1985-2003!H405"")"),0.64686765)</f>
        <v>0.64686765000000002</v>
      </c>
      <c r="E28" s="75">
        <f ca="1">IFERROR(__xludf.DUMMYFUNCTION("$C22*IMPORTRANGE(""https://docs.google.com/spreadsheets/d/1xsp01RMmkav9iTy39Zaj_7tE9677EGlOJ14KU9TZn7I/"",""1985-2003!T405"")"),0.41490911)</f>
        <v>0.41490911000000003</v>
      </c>
      <c r="F28" s="75">
        <f ca="1">IFERROR(__xludf.DUMMYFUNCTION("$C22*IMPORTRANGE(""https://docs.google.com/spreadsheets/d/1xsp01RMmkav9iTy39Zaj_7tE9677EGlOJ14KU9TZn7I/"",""1985-2003!AC405"")"),104.46271)</f>
        <v>104.46271</v>
      </c>
      <c r="G28" s="72" t="s">
        <v>8</v>
      </c>
      <c r="H28" s="5"/>
      <c r="I28" s="5"/>
      <c r="J28" s="5"/>
      <c r="K28" s="2"/>
      <c r="L28" s="3"/>
      <c r="M28" s="52"/>
      <c r="N28" s="52"/>
      <c r="O28" s="52"/>
      <c r="P28" s="52"/>
      <c r="Q28" s="2"/>
      <c r="R28" s="5"/>
      <c r="S28" s="5"/>
      <c r="T28" s="5"/>
      <c r="U28" s="5"/>
      <c r="V28" s="5"/>
      <c r="W28" s="5"/>
      <c r="X28" s="5"/>
      <c r="Y28" s="5"/>
      <c r="Z28" s="5"/>
    </row>
    <row r="29" spans="1:26" ht="13.2" x14ac:dyDescent="0.25">
      <c r="A29" s="57" t="s">
        <v>59</v>
      </c>
      <c r="B29" s="58">
        <v>19</v>
      </c>
      <c r="C29" s="59">
        <f>7450.2/1000</f>
        <v>7.4501999999999997</v>
      </c>
      <c r="D29" s="71">
        <f ca="1">IFERROR(__xludf.DUMMYFUNCTION("$C23*IMPORTRANGE(""https://docs.google.com/spreadsheets/d/1xsp01RMmkav9iTy39Zaj_7tE9677EGlOJ14KU9TZn7I/"",""1985-2003!H429"")"),7.47404064)</f>
        <v>7.4740406400000001</v>
      </c>
      <c r="E29" s="71">
        <f ca="1">IFERROR(__xludf.DUMMYFUNCTION("$C23*IMPORTRANGE(""https://docs.google.com/spreadsheets/d/1xsp01RMmkav9iTy39Zaj_7tE9677EGlOJ14KU9TZn7I/"",""1985-2003!T429"")"),4.96630332)</f>
        <v>4.9663033199999997</v>
      </c>
      <c r="F29" s="71">
        <f ca="1">IFERROR(__xludf.DUMMYFUNCTION("$C23*IMPORTRANGE(""https://docs.google.com/spreadsheets/d/1xsp01RMmkav9iTy39Zaj_7tE9677EGlOJ14KU9TZn7I/"",""1985-2003!AC429"")"),1177.50411)</f>
        <v>1177.5041100000001</v>
      </c>
      <c r="G29" s="57" t="s">
        <v>8</v>
      </c>
      <c r="H29" s="5"/>
      <c r="I29" s="5"/>
      <c r="J29" s="5"/>
      <c r="K29" s="2"/>
      <c r="L29" s="3"/>
      <c r="M29" s="52"/>
      <c r="N29" s="52"/>
      <c r="O29" s="52"/>
      <c r="P29" s="52"/>
      <c r="Q29" s="2"/>
      <c r="R29" s="5"/>
      <c r="S29" s="5"/>
      <c r="T29" s="5"/>
      <c r="U29" s="5"/>
      <c r="V29" s="5"/>
      <c r="W29" s="5"/>
      <c r="X29" s="5"/>
      <c r="Y29" s="5"/>
      <c r="Z29" s="5"/>
    </row>
    <row r="30" spans="1:26" ht="13.2" x14ac:dyDescent="0.25">
      <c r="A30" s="72" t="s">
        <v>60</v>
      </c>
      <c r="B30" s="73">
        <v>7</v>
      </c>
      <c r="C30" s="74">
        <f>76.3/1000</f>
        <v>7.6299999999999993E-2</v>
      </c>
      <c r="D30" s="75">
        <f ca="1">IFERROR(__xludf.DUMMYFUNCTION("$C24*IMPORTRANGE(""https://docs.google.com/spreadsheets/d/1xsp01RMmkav9iTy39Zaj_7tE9677EGlOJ14KU9TZn7I/"",""1985-2003!H451"")"),0.0736600199999999)</f>
        <v>7.3660019999999896E-2</v>
      </c>
      <c r="E30" s="75">
        <f ca="1">IFERROR(__xludf.DUMMYFUNCTION("$C24*IMPORTRANGE(""https://docs.google.com/spreadsheets/d/1xsp01RMmkav9iTy39Zaj_7tE9677EGlOJ14KU9TZn7I/"",""1985-2003!T451"")"),0.0513613449999999)</f>
        <v>5.1361344999999899E-2</v>
      </c>
      <c r="F30" s="75">
        <f ca="1">IFERROR(__xludf.DUMMYFUNCTION("$C24*IMPORTRANGE(""https://docs.google.com/spreadsheets/d/1xsp01RMmkav9iTy39Zaj_7tE9677EGlOJ14KU9TZn7I/"",""1985-2003!AC451"")"),11.761645)</f>
        <v>11.761645</v>
      </c>
      <c r="G30" s="72" t="s">
        <v>8</v>
      </c>
      <c r="H30" s="5"/>
      <c r="I30" s="5"/>
      <c r="J30" s="5"/>
      <c r="K30" s="2"/>
      <c r="L30" s="3"/>
      <c r="M30" s="52"/>
      <c r="N30" s="52"/>
      <c r="O30" s="52"/>
      <c r="P30" s="52"/>
      <c r="Q30" s="2"/>
      <c r="R30" s="5"/>
      <c r="S30" s="5"/>
      <c r="T30" s="5"/>
      <c r="U30" s="5"/>
      <c r="V30" s="5"/>
      <c r="W30" s="5"/>
      <c r="X30" s="5"/>
      <c r="Y30" s="5"/>
      <c r="Z30" s="5"/>
    </row>
    <row r="31" spans="1:26" ht="13.2" x14ac:dyDescent="0.25">
      <c r="A31" s="57" t="s">
        <v>61</v>
      </c>
      <c r="B31" s="58">
        <v>12</v>
      </c>
      <c r="C31" s="59">
        <f>338.6/1000</f>
        <v>0.33860000000000001</v>
      </c>
      <c r="D31" s="71">
        <f ca="1">IFERROR(__xludf.DUMMYFUNCTION("$C25*IMPORTRANGE(""https://docs.google.com/spreadsheets/d/1xsp01RMmkav9iTy39Zaj_7tE9677EGlOJ14KU9TZn7I/"",""1985-2003!H474"")"),0.32536074)</f>
        <v>0.32536073999999998</v>
      </c>
      <c r="E31" s="71">
        <f ca="1">IFERROR(__xludf.DUMMYFUNCTION("$C25*IMPORTRANGE(""https://docs.google.com/spreadsheets/d/1xsp01RMmkav9iTy39Zaj_7tE9677EGlOJ14KU9TZn7I/"",""1985-2003!T474"")"),0.2294015)</f>
        <v>0.22940150000000001</v>
      </c>
      <c r="F31" s="71">
        <f ca="1">IFERROR(__xludf.DUMMYFUNCTION("$C25*IMPORTRANGE(""https://docs.google.com/spreadsheets/d/1xsp01RMmkav9iTy39Zaj_7tE9677EGlOJ14KU9TZn7I/"",""1985-2003!AC474"")"),52.38142)</f>
        <v>52.381419999999999</v>
      </c>
      <c r="G31" s="57" t="s">
        <v>8</v>
      </c>
      <c r="H31" s="5"/>
      <c r="I31" s="5"/>
      <c r="J31" s="5"/>
      <c r="K31" s="2"/>
      <c r="L31" s="3"/>
      <c r="M31" s="52"/>
      <c r="N31" s="52"/>
      <c r="O31" s="52"/>
      <c r="P31" s="52"/>
      <c r="Q31" s="2"/>
      <c r="R31" s="5"/>
      <c r="S31" s="5"/>
      <c r="T31" s="5"/>
      <c r="U31" s="5"/>
      <c r="V31" s="5"/>
      <c r="W31" s="5"/>
      <c r="X31" s="5"/>
      <c r="Y31" s="5"/>
      <c r="Z31" s="5"/>
    </row>
    <row r="32" spans="1:26" ht="13.2" x14ac:dyDescent="0.25">
      <c r="A32" s="72" t="s">
        <v>62</v>
      </c>
      <c r="B32" s="73">
        <v>16</v>
      </c>
      <c r="C32" s="74">
        <f>1927.7/1000</f>
        <v>1.9277</v>
      </c>
      <c r="D32" s="75">
        <f ca="1">IFERROR(__xludf.DUMMYFUNCTION("$C26*IMPORTRANGE(""https://docs.google.com/spreadsheets/d/1xsp01RMmkav9iTy39Zaj_7tE9677EGlOJ14KU9TZn7I/"",""1985-2003!H498"")"),1.81203799999999)</f>
        <v>1.81203799999999</v>
      </c>
      <c r="E32" s="75">
        <f ca="1">IFERROR(__xludf.DUMMYFUNCTION("$C26*IMPORTRANGE(""https://docs.google.com/spreadsheets/d/1xsp01RMmkav9iTy39Zaj_7tE9677EGlOJ14KU9TZn7I/"",""1985-2003!T498"")"),1.34611291)</f>
        <v>1.34611291</v>
      </c>
      <c r="F32" s="75">
        <f ca="1">IFERROR(__xludf.DUMMYFUNCTION("$C26*IMPORTRANGE(""https://docs.google.com/spreadsheets/d/1xsp01RMmkav9iTy39Zaj_7tE9677EGlOJ14KU9TZn7I/"",""1985-2003!AC498"")"),298.02242)</f>
        <v>298.02242000000001</v>
      </c>
      <c r="G32" s="72" t="s">
        <v>8</v>
      </c>
      <c r="H32" s="5"/>
      <c r="I32" s="5"/>
      <c r="J32" s="5"/>
      <c r="K32" s="2"/>
      <c r="L32" s="3"/>
      <c r="M32" s="52"/>
      <c r="N32" s="52"/>
      <c r="O32" s="52"/>
      <c r="P32" s="52"/>
      <c r="Q32" s="2"/>
      <c r="R32" s="5"/>
      <c r="S32" s="5"/>
      <c r="T32" s="5"/>
      <c r="U32" s="5"/>
      <c r="V32" s="5"/>
      <c r="W32" s="5"/>
      <c r="X32" s="5"/>
      <c r="Y32" s="5"/>
      <c r="Z32" s="5"/>
    </row>
    <row r="33" spans="1:26" ht="13.2" x14ac:dyDescent="0.25">
      <c r="A33" s="57" t="s">
        <v>63</v>
      </c>
      <c r="B33" s="58">
        <v>15</v>
      </c>
      <c r="C33" s="59">
        <f>779/1000</f>
        <v>0.77900000000000003</v>
      </c>
      <c r="D33" s="71">
        <f ca="1">IFERROR(__xludf.DUMMYFUNCTION("$C27*IMPORTRANGE(""https://docs.google.com/spreadsheets/d/1xsp01RMmkav9iTy39Zaj_7tE9677EGlOJ14KU9TZn7I/"",""1985-2003!H519"")"),0.74156905)</f>
        <v>0.74156904999999995</v>
      </c>
      <c r="E33" s="71">
        <f ca="1">IFERROR(__xludf.DUMMYFUNCTION("$C27*IMPORTRANGE(""https://docs.google.com/spreadsheets/d/1xsp01RMmkav9iTy39Zaj_7tE9677EGlOJ14KU9TZn7I/"",""1985-2003!T519"")"),0.5463127)</f>
        <v>0.54631269999999998</v>
      </c>
      <c r="F33" s="71">
        <f ca="1">IFERROR(__xludf.DUMMYFUNCTION("$C27*IMPORTRANGE(""https://docs.google.com/spreadsheets/d/1xsp01RMmkav9iTy39Zaj_7tE9677EGlOJ14KU9TZn7I/"",""1985-2003!AC519"")"),126.848464999999)</f>
        <v>126.848464999999</v>
      </c>
      <c r="G33" s="57" t="s">
        <v>8</v>
      </c>
      <c r="H33" s="5"/>
      <c r="I33" s="5"/>
      <c r="J33" s="5"/>
      <c r="K33" s="2"/>
      <c r="L33" s="3"/>
      <c r="M33" s="52"/>
      <c r="N33" s="52"/>
      <c r="O33" s="52"/>
      <c r="P33" s="52"/>
      <c r="Q33" s="2"/>
      <c r="R33" s="5"/>
      <c r="S33" s="5"/>
      <c r="T33" s="5"/>
      <c r="U33" s="5"/>
      <c r="V33" s="5"/>
      <c r="W33" s="5"/>
      <c r="X33" s="5"/>
      <c r="Y33" s="5"/>
      <c r="Z33" s="5"/>
    </row>
    <row r="34" spans="1:26" ht="13.2" x14ac:dyDescent="0.25">
      <c r="A34" s="76" t="s">
        <v>64</v>
      </c>
      <c r="B34" s="77">
        <v>65</v>
      </c>
      <c r="C34" s="78">
        <f>10815.9/1000</f>
        <v>10.815899999999999</v>
      </c>
      <c r="D34" s="79">
        <f ca="1">IFERROR(__xludf.DUMMYFUNCTION("$C28*IMPORTRANGE(""https://docs.google.com/spreadsheets/d/1xsp01RMmkav9iTy39Zaj_7tE9677EGlOJ14KU9TZn7I/"",""1985-2003!H542"")"),10.1885778)</f>
        <v>10.188577799999999</v>
      </c>
      <c r="E34" s="79">
        <f ca="1">IFERROR(__xludf.DUMMYFUNCTION("$C28*IMPORTRANGE(""https://docs.google.com/spreadsheets/d/1xsp01RMmkav9iTy39Zaj_7tE9677EGlOJ14KU9TZn7I/"",""1985-2003!T542"")"),7.55274297)</f>
        <v>7.5527429699999997</v>
      </c>
      <c r="F34" s="79">
        <f ca="1">IFERROR(__xludf.DUMMYFUNCTION("$C28*IMPORTRANGE(""https://docs.google.com/spreadsheets/d/1xsp01RMmkav9iTy39Zaj_7tE9677EGlOJ14KU9TZn7I/"",""1985-2003!AC542"")"),1757.69190899999)</f>
        <v>1757.6919089999899</v>
      </c>
      <c r="G34" s="76" t="s">
        <v>8</v>
      </c>
      <c r="H34" s="5"/>
      <c r="I34" s="5"/>
      <c r="J34" s="5"/>
      <c r="K34" s="2"/>
      <c r="L34" s="3"/>
      <c r="M34" s="52"/>
      <c r="N34" s="52"/>
      <c r="O34" s="52"/>
      <c r="P34" s="52"/>
      <c r="Q34" s="2"/>
      <c r="R34" s="5"/>
      <c r="S34" s="5"/>
      <c r="T34" s="5"/>
      <c r="U34" s="5"/>
      <c r="V34" s="5"/>
      <c r="W34" s="5"/>
      <c r="X34" s="5"/>
      <c r="Y34" s="5"/>
      <c r="Z34" s="5"/>
    </row>
    <row r="35" spans="1:26" ht="13.2" x14ac:dyDescent="0.25">
      <c r="A35" s="68">
        <v>1987</v>
      </c>
      <c r="B35" s="69"/>
      <c r="C35" s="70"/>
      <c r="D35" s="70"/>
      <c r="E35" s="70"/>
      <c r="F35" s="70"/>
      <c r="G35" s="68"/>
      <c r="H35" s="5"/>
      <c r="I35" s="5"/>
      <c r="J35" s="5"/>
      <c r="K35" s="2"/>
      <c r="L35" s="3"/>
      <c r="M35" s="52"/>
      <c r="N35" s="52"/>
      <c r="O35" s="52"/>
      <c r="P35" s="52"/>
      <c r="Q35" s="2"/>
      <c r="R35" s="5"/>
      <c r="S35" s="5"/>
      <c r="T35" s="5"/>
      <c r="U35" s="5"/>
      <c r="V35" s="5"/>
      <c r="W35" s="5"/>
      <c r="X35" s="5"/>
      <c r="Y35" s="5"/>
      <c r="Z35" s="5"/>
    </row>
    <row r="36" spans="1:26" ht="13.2" x14ac:dyDescent="0.25">
      <c r="A36" s="57" t="s">
        <v>65</v>
      </c>
      <c r="B36" s="58">
        <v>6</v>
      </c>
      <c r="C36" s="59">
        <f>49.4/1000</f>
        <v>4.9399999999999999E-2</v>
      </c>
      <c r="D36" s="71">
        <f ca="1">IFERROR(__xludf.DUMMYFUNCTION("$C30*IMPORTRANGE(""https://docs.google.com/spreadsheets/d/1xsp01RMmkav9iTy39Zaj_7tE9677EGlOJ14KU9TZn7I/"",""1985-2003!H565"")"),0.0433485)</f>
        <v>4.3348499999999998E-2</v>
      </c>
      <c r="E36" s="71">
        <f ca="1">IFERROR(__xludf.DUMMYFUNCTION("$C30*IMPORTRANGE(""https://docs.google.com/spreadsheets/d/1xsp01RMmkav9iTy39Zaj_7tE9677EGlOJ14KU9TZn7I/"",""1985-2003!T565"")"),0.03261882)</f>
        <v>3.261882E-2</v>
      </c>
      <c r="F36" s="71">
        <f ca="1">IFERROR(__xludf.DUMMYFUNCTION("$C30*IMPORTRANGE(""https://docs.google.com/spreadsheets/d/1xsp01RMmkav9iTy39Zaj_7tE9677EGlOJ14KU9TZn7I/"",""1985-2003!AC565"")"),7.58784)</f>
        <v>7.5878399999999999</v>
      </c>
      <c r="G36" s="57" t="s">
        <v>8</v>
      </c>
      <c r="H36" s="5"/>
      <c r="I36" s="5"/>
      <c r="J36" s="5"/>
      <c r="K36" s="2"/>
      <c r="L36" s="3"/>
      <c r="M36" s="52"/>
      <c r="N36" s="52"/>
      <c r="O36" s="52"/>
      <c r="P36" s="52"/>
      <c r="Q36" s="2"/>
      <c r="R36" s="5"/>
      <c r="S36" s="5"/>
      <c r="T36" s="5"/>
      <c r="U36" s="5"/>
      <c r="V36" s="5"/>
      <c r="W36" s="5"/>
      <c r="X36" s="5"/>
      <c r="Y36" s="5"/>
      <c r="Z36" s="5"/>
    </row>
    <row r="37" spans="1:26" ht="13.2" x14ac:dyDescent="0.25">
      <c r="A37" s="72" t="s">
        <v>66</v>
      </c>
      <c r="B37" s="73">
        <v>3</v>
      </c>
      <c r="C37" s="74">
        <f>20.1/1000</f>
        <v>2.01E-2</v>
      </c>
      <c r="D37" s="75">
        <f ca="1">IFERROR(__xludf.DUMMYFUNCTION("$C31*IMPORTRANGE(""https://docs.google.com/spreadsheets/d/1xsp01RMmkav9iTy39Zaj_7tE9677EGlOJ14KU9TZn7I/"",""1985-2003!H586"")"),0.017506095)</f>
        <v>1.7506094999999999E-2</v>
      </c>
      <c r="E37" s="75">
        <f ca="1">IFERROR(__xludf.DUMMYFUNCTION("$C31*IMPORTRANGE(""https://docs.google.com/spreadsheets/d/1xsp01RMmkav9iTy39Zaj_7tE9677EGlOJ14KU9TZn7I/"",""1985-2003!T586"")"),0.013174545)</f>
        <v>1.3174544999999999E-2</v>
      </c>
      <c r="F37" s="75">
        <f ca="1">IFERROR(__xludf.DUMMYFUNCTION("$C31*IMPORTRANGE(""https://docs.google.com/spreadsheets/d/1xsp01RMmkav9iTy39Zaj_7tE9677EGlOJ14KU9TZn7I/"",""1985-2003!AC586"")"),3.087963)</f>
        <v>3.0879629999999998</v>
      </c>
      <c r="G37" s="72" t="s">
        <v>8</v>
      </c>
      <c r="H37" s="5"/>
      <c r="I37" s="5"/>
      <c r="J37" s="5"/>
      <c r="K37" s="2"/>
      <c r="L37" s="3"/>
      <c r="M37" s="52"/>
      <c r="N37" s="52"/>
      <c r="O37" s="52"/>
      <c r="P37" s="52"/>
      <c r="Q37" s="2"/>
      <c r="R37" s="5"/>
      <c r="S37" s="5"/>
      <c r="T37" s="5"/>
      <c r="U37" s="5"/>
      <c r="V37" s="5"/>
      <c r="W37" s="5"/>
      <c r="X37" s="5"/>
      <c r="Y37" s="5"/>
      <c r="Z37" s="5"/>
    </row>
    <row r="38" spans="1:26" ht="13.2" x14ac:dyDescent="0.25">
      <c r="A38" s="57" t="s">
        <v>67</v>
      </c>
      <c r="B38" s="58">
        <v>9</v>
      </c>
      <c r="C38" s="59">
        <f>517.5/1000</f>
        <v>0.51749999999999996</v>
      </c>
      <c r="D38" s="71">
        <f ca="1">IFERROR(__xludf.DUMMYFUNCTION("$C32*IMPORTRANGE(""https://docs.google.com/spreadsheets/d/1xsp01RMmkav9iTy39Zaj_7tE9677EGlOJ14KU9TZn7I/"",""1985-2003!H609"")"),0.452191499999999)</f>
        <v>0.45219149999999902</v>
      </c>
      <c r="E38" s="71">
        <f ca="1">IFERROR(__xludf.DUMMYFUNCTION("$C32*IMPORTRANGE(""https://docs.google.com/spreadsheets/d/1xsp01RMmkav9iTy39Zaj_7tE9677EGlOJ14KU9TZn7I/"",""1985-2003!T609"")"),0.324524249999999)</f>
        <v>0.32452424999999901</v>
      </c>
      <c r="F38" s="71">
        <f ca="1">IFERROR(__xludf.DUMMYFUNCTION("$C32*IMPORTRANGE(""https://docs.google.com/spreadsheets/d/1xsp01RMmkav9iTy39Zaj_7tE9677EGlOJ14KU9TZn7I/"",""1985-2003!AC609"")"),78.6341249999999)</f>
        <v>78.634124999999898</v>
      </c>
      <c r="G38" s="57" t="s">
        <v>8</v>
      </c>
      <c r="H38" s="5"/>
      <c r="I38" s="5"/>
      <c r="J38" s="5"/>
      <c r="K38" s="2"/>
      <c r="L38" s="3"/>
      <c r="M38" s="52"/>
      <c r="N38" s="52"/>
      <c r="O38" s="52"/>
      <c r="P38" s="52"/>
      <c r="Q38" s="2"/>
      <c r="R38" s="5"/>
      <c r="S38" s="5"/>
      <c r="T38" s="5"/>
      <c r="U38" s="5"/>
      <c r="V38" s="5"/>
      <c r="W38" s="5"/>
      <c r="X38" s="5"/>
      <c r="Y38" s="5"/>
      <c r="Z38" s="5"/>
    </row>
    <row r="39" spans="1:26" ht="13.2" x14ac:dyDescent="0.25">
      <c r="A39" s="72" t="s">
        <v>68</v>
      </c>
      <c r="B39" s="81">
        <v>13</v>
      </c>
      <c r="C39" s="74">
        <f>719.4/1000</f>
        <v>0.71939999999999993</v>
      </c>
      <c r="D39" s="75">
        <f ca="1">IFERROR(__xludf.DUMMYFUNCTION("$C33*IMPORTRANGE(""https://docs.google.com/spreadsheets/d/1xsp01RMmkav9iTy39Zaj_7tE9677EGlOJ14KU9TZn7I/"",""1985-2003!H632"")"),0.621345779999999)</f>
        <v>0.62134577999999896</v>
      </c>
      <c r="E39" s="75">
        <f ca="1">IFERROR(__xludf.DUMMYFUNCTION("$C33*IMPORTRANGE(""https://docs.google.com/spreadsheets/d/1xsp01RMmkav9iTy39Zaj_7tE9677EGlOJ14KU9TZn7I/"",""1985-2003!T632"")"),0.44178354)</f>
        <v>0.44178353999999997</v>
      </c>
      <c r="F39" s="75">
        <f ca="1">IFERROR(__xludf.DUMMYFUNCTION("$C33*IMPORTRANGE(""https://docs.google.com/spreadsheets/d/1xsp01RMmkav9iTy39Zaj_7tE9677EGlOJ14KU9TZn7I/"",""1985-2003!AC632"")"),102.496515)</f>
        <v>102.496515</v>
      </c>
      <c r="G39" s="72" t="s">
        <v>8</v>
      </c>
      <c r="H39" s="5"/>
      <c r="I39" s="5"/>
      <c r="J39" s="5"/>
      <c r="K39" s="2"/>
      <c r="L39" s="3"/>
      <c r="M39" s="52"/>
      <c r="N39" s="52"/>
      <c r="O39" s="52"/>
      <c r="P39" s="52"/>
      <c r="Q39" s="2"/>
      <c r="R39" s="5"/>
      <c r="S39" s="5"/>
      <c r="T39" s="5"/>
      <c r="U39" s="5"/>
      <c r="V39" s="5"/>
      <c r="W39" s="5"/>
      <c r="X39" s="5"/>
      <c r="Y39" s="5"/>
      <c r="Z39" s="5"/>
    </row>
    <row r="40" spans="1:26" ht="13.2" x14ac:dyDescent="0.25">
      <c r="A40" s="57" t="s">
        <v>69</v>
      </c>
      <c r="B40" s="80">
        <v>15</v>
      </c>
      <c r="C40" s="59">
        <f>1060.3/1000</f>
        <v>1.0603</v>
      </c>
      <c r="D40" s="71">
        <f ca="1">IFERROR(__xludf.DUMMYFUNCTION("$C34*IMPORTRANGE(""https://docs.google.com/spreadsheets/d/1xsp01RMmkav9iTy39Zaj_7tE9677EGlOJ14KU9TZn7I/"",""1985-2003!H653"")"),0.90263339)</f>
        <v>0.90263338999999998</v>
      </c>
      <c r="E40" s="71">
        <f ca="1">IFERROR(__xludf.DUMMYFUNCTION("$C34*IMPORTRANGE(""https://docs.google.com/spreadsheets/d/1xsp01RMmkav9iTy39Zaj_7tE9677EGlOJ14KU9TZn7I/"",""1985-2003!T653"")"),0.63363528)</f>
        <v>0.63363528000000002</v>
      </c>
      <c r="F40" s="71">
        <f ca="1">IFERROR(__xludf.DUMMYFUNCTION("$C34*IMPORTRANGE(""https://docs.google.com/spreadsheets/d/1xsp01RMmkav9iTy39Zaj_7tE9677EGlOJ14KU9TZn7I/"",""1985-2003!AC653"")"),148.219337)</f>
        <v>148.219337</v>
      </c>
      <c r="G40" s="57" t="s">
        <v>8</v>
      </c>
      <c r="H40" s="5"/>
      <c r="I40" s="5"/>
      <c r="J40" s="5"/>
      <c r="K40" s="2"/>
      <c r="L40" s="3"/>
      <c r="M40" s="52"/>
      <c r="N40" s="52"/>
      <c r="O40" s="52"/>
      <c r="P40" s="52"/>
      <c r="Q40" s="2"/>
      <c r="R40" s="5"/>
      <c r="S40" s="5"/>
      <c r="T40" s="5"/>
      <c r="U40" s="5"/>
      <c r="V40" s="5"/>
      <c r="W40" s="5"/>
      <c r="X40" s="5"/>
      <c r="Y40" s="5"/>
      <c r="Z40" s="5"/>
    </row>
    <row r="41" spans="1:26" ht="13.2" x14ac:dyDescent="0.25">
      <c r="A41" s="72" t="s">
        <v>70</v>
      </c>
      <c r="B41" s="73">
        <v>33</v>
      </c>
      <c r="C41" s="74">
        <f>1782.6/1000</f>
        <v>1.7826</v>
      </c>
      <c r="D41" s="75">
        <f ca="1">IFERROR(__xludf.DUMMYFUNCTION("$C35*IMPORTRANGE(""https://docs.google.com/spreadsheets/d/1xsp01RMmkav9iTy39Zaj_7tE9677EGlOJ14KU9TZn7I/"",""1985-2003!H676"")"),1.55273373)</f>
        <v>1.5527337299999999</v>
      </c>
      <c r="E41" s="75">
        <f ca="1">IFERROR(__xludf.DUMMYFUNCTION("$C35*IMPORTRANGE(""https://docs.google.com/spreadsheets/d/1xsp01RMmkav9iTy39Zaj_7tE9677EGlOJ14KU9TZn7I/"",""1985-2003!T676"")"),1.09407075)</f>
        <v>1.09407075</v>
      </c>
      <c r="F41" s="75">
        <f ca="1">IFERROR(__xludf.DUMMYFUNCTION("$C35*IMPORTRANGE(""https://docs.google.com/spreadsheets/d/1xsp01RMmkav9iTy39Zaj_7tE9677EGlOJ14KU9TZn7I/"",""1985-2003!AC676"")"),257.808525)</f>
        <v>257.80852499999997</v>
      </c>
      <c r="G41" s="72" t="s">
        <v>8</v>
      </c>
      <c r="H41" s="5"/>
      <c r="I41" s="5"/>
      <c r="J41" s="5"/>
      <c r="K41" s="2"/>
      <c r="L41" s="3"/>
      <c r="M41" s="52"/>
      <c r="N41" s="52"/>
      <c r="O41" s="52"/>
      <c r="P41" s="52"/>
      <c r="Q41" s="2"/>
      <c r="R41" s="5"/>
      <c r="S41" s="5"/>
      <c r="T41" s="5"/>
      <c r="U41" s="5"/>
      <c r="V41" s="5"/>
      <c r="W41" s="5"/>
      <c r="X41" s="5"/>
      <c r="Y41" s="5"/>
      <c r="Z41" s="5"/>
    </row>
    <row r="42" spans="1:26" ht="13.2" x14ac:dyDescent="0.25">
      <c r="A42" s="57" t="s">
        <v>71</v>
      </c>
      <c r="B42" s="58">
        <v>14</v>
      </c>
      <c r="C42" s="59">
        <f>2681.6/1000</f>
        <v>2.6816</v>
      </c>
      <c r="D42" s="71">
        <f ca="1">IFERROR(__xludf.DUMMYFUNCTION("$C36*IMPORTRANGE(""https://docs.google.com/spreadsheets/d/1xsp01RMmkav9iTy39Zaj_7tE9677EGlOJ14KU9TZn7I/"",""1985-2003!H700"")"),2.36195328)</f>
        <v>2.3619532799999998</v>
      </c>
      <c r="E42" s="71">
        <f ca="1">IFERROR(__xludf.DUMMYFUNCTION("$C36*IMPORTRANGE(""https://docs.google.com/spreadsheets/d/1xsp01RMmkav9iTy39Zaj_7tE9677EGlOJ14KU9TZn7I/"",""1985-2003!T700"")"),1.66312832)</f>
        <v>1.66312832</v>
      </c>
      <c r="F42" s="71">
        <f ca="1">IFERROR(__xludf.DUMMYFUNCTION("$C36*IMPORTRANGE(""https://docs.google.com/spreadsheets/d/1xsp01RMmkav9iTy39Zaj_7tE9677EGlOJ14KU9TZn7I/"",""1985-2003!AC700"")"),403.446719999999)</f>
        <v>403.446719999999</v>
      </c>
      <c r="G42" s="57" t="s">
        <v>8</v>
      </c>
      <c r="H42" s="5"/>
      <c r="I42" s="5"/>
      <c r="J42" s="5"/>
      <c r="K42" s="2"/>
      <c r="L42" s="3"/>
      <c r="M42" s="52"/>
      <c r="N42" s="52"/>
      <c r="O42" s="52"/>
      <c r="P42" s="52"/>
      <c r="Q42" s="2"/>
      <c r="R42" s="5"/>
      <c r="S42" s="5"/>
      <c r="T42" s="5"/>
      <c r="U42" s="5"/>
      <c r="V42" s="5"/>
      <c r="W42" s="5"/>
      <c r="X42" s="5"/>
      <c r="Y42" s="5"/>
      <c r="Z42" s="5"/>
    </row>
    <row r="43" spans="1:26" ht="13.2" x14ac:dyDescent="0.25">
      <c r="A43" s="72" t="s">
        <v>72</v>
      </c>
      <c r="B43" s="73">
        <v>7</v>
      </c>
      <c r="C43" s="74">
        <f>99.5/1000</f>
        <v>9.9500000000000005E-2</v>
      </c>
      <c r="D43" s="75">
        <f ca="1">IFERROR(__xludf.DUMMYFUNCTION("$C37*IMPORTRANGE(""https://docs.google.com/spreadsheets/d/1xsp01RMmkav9iTy39Zaj_7tE9677EGlOJ14KU9TZn7I/"",""1985-2003!H722"")"),0.088629625)</f>
        <v>8.8629625000000004E-2</v>
      </c>
      <c r="E43" s="75">
        <f ca="1">IFERROR(__xludf.DUMMYFUNCTION("$C37*IMPORTRANGE(""https://docs.google.com/spreadsheets/d/1xsp01RMmkav9iTy39Zaj_7tE9677EGlOJ14KU9TZn7I/"",""1985-2003!AC722"")"),14.91704)</f>
        <v>14.91704</v>
      </c>
      <c r="F43" s="75">
        <f ca="1">IFERROR(__xludf.DUMMYFUNCTION("$C37*IMPORTRANGE(""https://docs.google.com/spreadsheets/d/1xsp01RMmkav9iTy39Zaj_7tE9677EGlOJ14KU9TZn7I/"",""1985-2003!AC722"")"),14.91704)</f>
        <v>14.91704</v>
      </c>
      <c r="G43" s="72" t="s">
        <v>8</v>
      </c>
      <c r="H43" s="5"/>
      <c r="I43" s="5"/>
      <c r="J43" s="5"/>
      <c r="K43" s="2"/>
      <c r="L43" s="3"/>
      <c r="M43" s="52"/>
      <c r="N43" s="52"/>
      <c r="O43" s="52"/>
      <c r="P43" s="52"/>
      <c r="Q43" s="2"/>
      <c r="R43" s="5"/>
      <c r="S43" s="5"/>
      <c r="T43" s="5"/>
      <c r="U43" s="5"/>
      <c r="V43" s="5"/>
      <c r="W43" s="5"/>
      <c r="X43" s="5"/>
      <c r="Y43" s="5"/>
      <c r="Z43" s="5"/>
    </row>
    <row r="44" spans="1:26" ht="13.2" x14ac:dyDescent="0.25">
      <c r="A44" s="57" t="s">
        <v>73</v>
      </c>
      <c r="B44" s="58">
        <v>13</v>
      </c>
      <c r="C44" s="59">
        <f>730.7/1000</f>
        <v>0.73070000000000002</v>
      </c>
      <c r="D44" s="71">
        <f ca="1">IFERROR(__xludf.DUMMYFUNCTION("$C38*IMPORTRANGE(""https://docs.google.com/spreadsheets/d/1xsp01RMmkav9iTy39Zaj_7tE9677EGlOJ14KU9TZn7I/"",""1985-2003!H745"")"),0.63088638)</f>
        <v>0.63088637999999997</v>
      </c>
      <c r="E44" s="71">
        <f ca="1">IFERROR(__xludf.DUMMYFUNCTION("$C38*IMPORTRANGE(""https://docs.google.com/spreadsheets/d/1xsp01RMmkav9iTy39Zaj_7tE9677EGlOJ14KU9TZn7I/"",""1985-2003!T745"")"),0.44390025)</f>
        <v>0.44390025</v>
      </c>
      <c r="F44" s="71">
        <f ca="1">IFERROR(__xludf.DUMMYFUNCTION("$C38*IMPORTRANGE(""https://docs.google.com/spreadsheets/d/1xsp01RMmkav9iTy39Zaj_7tE9677EGlOJ14KU9TZn7I/"",""1985-2003!AC745"")"),104.891985)</f>
        <v>104.89198500000001</v>
      </c>
      <c r="G44" s="57" t="s">
        <v>8</v>
      </c>
      <c r="H44" s="5"/>
      <c r="I44" s="5"/>
      <c r="J44" s="5"/>
      <c r="K44" s="2"/>
      <c r="L44" s="3"/>
      <c r="M44" s="52"/>
      <c r="N44" s="52"/>
      <c r="O44" s="52"/>
      <c r="P44" s="52"/>
      <c r="Q44" s="2"/>
      <c r="R44" s="5"/>
      <c r="S44" s="5"/>
      <c r="T44" s="5"/>
      <c r="U44" s="5"/>
      <c r="V44" s="5"/>
      <c r="W44" s="5"/>
      <c r="X44" s="5"/>
      <c r="Y44" s="5"/>
      <c r="Z44" s="5"/>
    </row>
    <row r="45" spans="1:26" ht="13.2" x14ac:dyDescent="0.25">
      <c r="A45" s="72" t="s">
        <v>74</v>
      </c>
      <c r="B45" s="73">
        <v>14</v>
      </c>
      <c r="C45" s="74">
        <f>4311.7/1000</f>
        <v>4.3117000000000001</v>
      </c>
      <c r="D45" s="75">
        <f ca="1">IFERROR(__xludf.DUMMYFUNCTION("$C39*IMPORTRANGE(""https://docs.google.com/spreadsheets/d/1xsp01RMmkav9iTy39Zaj_7tE9677EGlOJ14KU9TZn7I/"",""1985-2003!H768"")"),3.71151136)</f>
        <v>3.7115113599999998</v>
      </c>
      <c r="E45" s="75">
        <f ca="1">IFERROR(__xludf.DUMMYFUNCTION("$C39*IMPORTRANGE(""https://docs.google.com/spreadsheets/d/1xsp01RMmkav9iTy39Zaj_7tE9677EGlOJ14KU9TZn7I/"",""1985-2003!T768"")"),2.60642265)</f>
        <v>2.6064226499999998</v>
      </c>
      <c r="F45" s="75">
        <f ca="1">IFERROR(__xludf.DUMMYFUNCTION("$C39*IMPORTRANGE(""https://docs.google.com/spreadsheets/d/1xsp01RMmkav9iTy39Zaj_7tE9677EGlOJ14KU9TZn7I/"",""1985-2003!AC768"")"),619.806875)</f>
        <v>619.80687499999999</v>
      </c>
      <c r="G45" s="72" t="s">
        <v>8</v>
      </c>
      <c r="H45" s="5"/>
      <c r="I45" s="5"/>
      <c r="J45" s="5"/>
      <c r="K45" s="2"/>
      <c r="L45" s="3"/>
      <c r="M45" s="52"/>
      <c r="N45" s="52"/>
      <c r="O45" s="52"/>
      <c r="P45" s="52"/>
      <c r="Q45" s="2"/>
      <c r="R45" s="5"/>
      <c r="S45" s="5"/>
      <c r="T45" s="5"/>
      <c r="U45" s="5"/>
      <c r="V45" s="5"/>
      <c r="W45" s="5"/>
      <c r="X45" s="5"/>
      <c r="Y45" s="5"/>
      <c r="Z45" s="5"/>
    </row>
    <row r="46" spans="1:26" ht="13.2" x14ac:dyDescent="0.25">
      <c r="A46" s="57" t="s">
        <v>75</v>
      </c>
      <c r="B46" s="58">
        <v>13</v>
      </c>
      <c r="C46" s="59">
        <f>284/1000</f>
        <v>0.28399999999999997</v>
      </c>
      <c r="D46" s="71">
        <f ca="1">IFERROR(__xludf.DUMMYFUNCTION("$C40*IMPORTRANGE(""https://docs.google.com/spreadsheets/d/1xsp01RMmkav9iTy39Zaj_7tE9677EGlOJ14KU9TZn7I/"",""1985-2003!H790"")"),0.229443599999999)</f>
        <v>0.229443599999999</v>
      </c>
      <c r="E46" s="71">
        <f ca="1">IFERROR(__xludf.DUMMYFUNCTION("$C40*IMPORTRANGE(""https://docs.google.com/spreadsheets/d/1xsp01RMmkav9iTy39Zaj_7tE9677EGlOJ14KU9TZn7I/"",""1985-2003!T790"")"),0.1599488)</f>
        <v>0.1599488</v>
      </c>
      <c r="F46" s="71">
        <f ca="1">IFERROR(__xludf.DUMMYFUNCTION("$C40*IMPORTRANGE(""https://docs.google.com/spreadsheets/d/1xsp01RMmkav9iTy39Zaj_7tE9677EGlOJ14KU9TZn7I/"",""1985-2003!AC790"")"),38.4678)</f>
        <v>38.467799999999997</v>
      </c>
      <c r="G46" s="57" t="s">
        <v>8</v>
      </c>
      <c r="H46" s="5"/>
      <c r="I46" s="5"/>
      <c r="J46" s="5"/>
      <c r="K46" s="2"/>
      <c r="L46" s="3"/>
      <c r="M46" s="52"/>
      <c r="N46" s="52"/>
      <c r="O46" s="52"/>
      <c r="P46" s="52"/>
      <c r="Q46" s="2"/>
      <c r="R46" s="5"/>
      <c r="S46" s="5"/>
      <c r="T46" s="5"/>
      <c r="U46" s="5"/>
      <c r="V46" s="5"/>
      <c r="W46" s="5"/>
      <c r="X46" s="5"/>
      <c r="Y46" s="5"/>
      <c r="Z46" s="5"/>
    </row>
    <row r="47" spans="1:26" ht="13.2" x14ac:dyDescent="0.25">
      <c r="A47" s="76" t="s">
        <v>76</v>
      </c>
      <c r="B47" s="77">
        <v>73</v>
      </c>
      <c r="C47" s="78">
        <f>2638.8/1000</f>
        <v>2.6388000000000003</v>
      </c>
      <c r="D47" s="79">
        <f ca="1">IFERROR(__xludf.DUMMYFUNCTION("$C41*IMPORTRANGE(""https://docs.google.com/spreadsheets/d/1xsp01RMmkav9iTy39Zaj_7tE9677EGlOJ14KU9TZn7I/"",""1985-2003!H813"")"),2.06855532)</f>
        <v>2.0685553200000002</v>
      </c>
      <c r="E47" s="79">
        <f ca="1">IFERROR(__xludf.DUMMYFUNCTION("$C41*IMPORTRANGE(""https://docs.google.com/spreadsheets/d/1xsp01RMmkav9iTy39Zaj_7tE9677EGlOJ14KU9TZn7I/"",""1985-2003!T813"")"),1.4434236)</f>
        <v>1.4434236</v>
      </c>
      <c r="F47" s="79">
        <f ca="1">IFERROR(__xludf.DUMMYFUNCTION("$C41*IMPORTRANGE(""https://docs.google.com/spreadsheets/d/1xsp01RMmkav9iTy39Zaj_7tE9677EGlOJ14KU9TZn7I/"",""1985-2003!AC813"")"),336.288672)</f>
        <v>336.28867200000002</v>
      </c>
      <c r="G47" s="76" t="s">
        <v>8</v>
      </c>
      <c r="H47" s="5"/>
      <c r="I47" s="5"/>
      <c r="J47" s="5"/>
      <c r="K47" s="2"/>
      <c r="L47" s="3"/>
      <c r="M47" s="52"/>
      <c r="N47" s="52"/>
      <c r="O47" s="52"/>
      <c r="P47" s="52"/>
      <c r="Q47" s="2"/>
      <c r="R47" s="5"/>
      <c r="S47" s="5"/>
      <c r="T47" s="5"/>
      <c r="U47" s="5"/>
      <c r="V47" s="5"/>
      <c r="W47" s="5"/>
      <c r="X47" s="5"/>
      <c r="Y47" s="5"/>
      <c r="Z47" s="5"/>
    </row>
    <row r="48" spans="1:26" ht="13.2" x14ac:dyDescent="0.25">
      <c r="A48" s="68">
        <v>1988</v>
      </c>
      <c r="B48" s="69"/>
      <c r="C48" s="70"/>
      <c r="D48" s="70"/>
      <c r="E48" s="70"/>
      <c r="F48" s="70"/>
      <c r="G48" s="68"/>
      <c r="H48" s="5"/>
      <c r="I48" s="5"/>
      <c r="J48" s="5"/>
      <c r="K48" s="2"/>
      <c r="L48" s="3"/>
      <c r="M48" s="52"/>
      <c r="N48" s="52"/>
      <c r="O48" s="52"/>
      <c r="P48" s="52"/>
      <c r="Q48" s="2"/>
      <c r="R48" s="5"/>
      <c r="S48" s="5"/>
      <c r="T48" s="5"/>
      <c r="U48" s="5"/>
      <c r="V48" s="5"/>
      <c r="W48" s="5"/>
      <c r="X48" s="5"/>
      <c r="Y48" s="5"/>
      <c r="Z48" s="5"/>
    </row>
    <row r="49" spans="1:26" ht="13.2" x14ac:dyDescent="0.25">
      <c r="A49" s="57" t="s">
        <v>77</v>
      </c>
      <c r="B49" s="58">
        <v>9</v>
      </c>
      <c r="C49" s="59">
        <f>286.8/1000</f>
        <v>0.2868</v>
      </c>
      <c r="D49" s="71">
        <f ca="1">IFERROR(__xludf.DUMMYFUNCTION("$C43*IMPORTRANGE(""https://docs.google.com/spreadsheets/d/1xsp01RMmkav9iTy39Zaj_7tE9677EGlOJ14KU9TZn7I/"",""1985-2003!H835"")"),0.22882338)</f>
        <v>0.22882337999999999</v>
      </c>
      <c r="E49" s="71">
        <f ca="1">IFERROR(__xludf.DUMMYFUNCTION("$C43*IMPORTRANGE(""https://docs.google.com/spreadsheets/d/1xsp01RMmkav9iTy39Zaj_7tE9677EGlOJ14KU9TZn7I/"",""1985-2003!T835"")"),0.16000572)</f>
        <v>0.16000571999999999</v>
      </c>
      <c r="F49" s="71">
        <f ca="1">IFERROR(__xludf.DUMMYFUNCTION("$C43*IMPORTRANGE(""https://docs.google.com/spreadsheets/d/1xsp01RMmkav9iTy39Zaj_7tE9677EGlOJ14KU9TZn7I/"",""1985-2003!AC835"")"),36.6387)</f>
        <v>36.6387</v>
      </c>
      <c r="G49" s="57" t="s">
        <v>8</v>
      </c>
      <c r="H49" s="5"/>
      <c r="I49" s="5"/>
      <c r="J49" s="5"/>
      <c r="K49" s="2"/>
      <c r="L49" s="3"/>
      <c r="M49" s="52"/>
      <c r="N49" s="52"/>
      <c r="O49" s="52"/>
      <c r="P49" s="52"/>
      <c r="Q49" s="2"/>
      <c r="R49" s="5"/>
      <c r="S49" s="5"/>
      <c r="T49" s="5"/>
      <c r="U49" s="5"/>
      <c r="V49" s="5"/>
      <c r="W49" s="5"/>
      <c r="X49" s="5"/>
      <c r="Y49" s="5"/>
      <c r="Z49" s="5"/>
    </row>
    <row r="50" spans="1:26" ht="13.2" x14ac:dyDescent="0.25">
      <c r="A50" s="72" t="s">
        <v>78</v>
      </c>
      <c r="B50" s="73">
        <v>16</v>
      </c>
      <c r="C50" s="74">
        <f>1753.6/1000</f>
        <v>1.7535999999999998</v>
      </c>
      <c r="D50" s="75">
        <f ca="1">IFERROR(__xludf.DUMMYFUNCTION("$C44*IMPORTRANGE(""https://docs.google.com/spreadsheets/d/1xsp01RMmkav9iTy39Zaj_7tE9677EGlOJ14KU9TZn7I/"",""1985-2003!H857"")"),1.42515071999999)</f>
        <v>1.42515071999999</v>
      </c>
      <c r="E50" s="75">
        <f ca="1">IFERROR(__xludf.DUMMYFUNCTION("$C44*IMPORTRANGE(""https://docs.google.com/spreadsheets/d/1xsp01RMmkav9iTy39Zaj_7tE9677EGlOJ14KU9TZn7I/"",""1985-2003!T857"")"),0.99639552)</f>
        <v>0.99639551999999998</v>
      </c>
      <c r="F50" s="75">
        <f ca="1">IFERROR(__xludf.DUMMYFUNCTION("$C44*IMPORTRANGE(""https://docs.google.com/spreadsheets/d/1xsp01RMmkav9iTy39Zaj_7tE9677EGlOJ14KU9TZn7I/"",""1985-2003!AC857"")"),226.275776)</f>
        <v>226.27577600000001</v>
      </c>
      <c r="G50" s="72" t="s">
        <v>8</v>
      </c>
      <c r="H50" s="5"/>
      <c r="I50" s="5"/>
      <c r="J50" s="5"/>
      <c r="K50" s="2"/>
      <c r="L50" s="3"/>
      <c r="M50" s="52"/>
      <c r="N50" s="52"/>
      <c r="O50" s="52"/>
      <c r="P50" s="52"/>
      <c r="Q50" s="2"/>
      <c r="R50" s="5"/>
      <c r="S50" s="5"/>
      <c r="T50" s="5"/>
      <c r="U50" s="5"/>
      <c r="V50" s="5"/>
      <c r="W50" s="5"/>
      <c r="X50" s="5"/>
      <c r="Y50" s="5"/>
      <c r="Z50" s="5"/>
    </row>
    <row r="51" spans="1:26" ht="13.2" x14ac:dyDescent="0.25">
      <c r="A51" s="57" t="s">
        <v>79</v>
      </c>
      <c r="B51" s="58">
        <v>17</v>
      </c>
      <c r="C51" s="59">
        <f>5344.9/1000</f>
        <v>5.3449</v>
      </c>
      <c r="D51" s="71">
        <f ca="1">IFERROR(__xludf.DUMMYFUNCTION("$C45*IMPORTRANGE(""https://docs.google.com/spreadsheets/d/1xsp01RMmkav9iTy39Zaj_7tE9677EGlOJ14KU9TZn7I/"",""1985-2003!H881"")"),4.29783409)</f>
        <v>4.2978340900000003</v>
      </c>
      <c r="E51" s="71">
        <f ca="1">IFERROR(__xludf.DUMMYFUNCTION("$C45*IMPORTRANGE(""https://docs.google.com/spreadsheets/d/1xsp01RMmkav9iTy39Zaj_7tE9677EGlOJ14KU9TZn7I/"",""1985-2003!T881"")"),2.90548764)</f>
        <v>2.90548764</v>
      </c>
      <c r="F51" s="71">
        <f ca="1">IFERROR(__xludf.DUMMYFUNCTION("$C45*IMPORTRANGE(""https://docs.google.com/spreadsheets/d/1xsp01RMmkav9iTy39Zaj_7tE9677EGlOJ14KU9TZn7I/"",""1985-2003!AC881"")"),680.833362)</f>
        <v>680.83336199999997</v>
      </c>
      <c r="G51" s="57" t="s">
        <v>8</v>
      </c>
      <c r="H51" s="5"/>
      <c r="I51" s="5"/>
      <c r="J51" s="5"/>
      <c r="K51" s="2"/>
      <c r="L51" s="3"/>
      <c r="M51" s="52"/>
      <c r="N51" s="52"/>
      <c r="O51" s="52"/>
      <c r="P51" s="52"/>
      <c r="Q51" s="2"/>
      <c r="R51" s="5"/>
      <c r="S51" s="5"/>
      <c r="T51" s="5"/>
      <c r="U51" s="5"/>
      <c r="V51" s="5"/>
      <c r="W51" s="5"/>
      <c r="X51" s="5"/>
      <c r="Y51" s="5"/>
      <c r="Z51" s="5"/>
    </row>
    <row r="52" spans="1:26" ht="13.2" x14ac:dyDescent="0.25">
      <c r="A52" s="72" t="s">
        <v>80</v>
      </c>
      <c r="B52" s="73">
        <v>18</v>
      </c>
      <c r="C52" s="74">
        <f>3130.2/1000</f>
        <v>3.1301999999999999</v>
      </c>
      <c r="D52" s="75">
        <f ca="1">IFERROR(__xludf.DUMMYFUNCTION("$C46*IMPORTRANGE(""https://docs.google.com/spreadsheets/d/1xsp01RMmkav9iTy39Zaj_7tE9677EGlOJ14KU9TZn7I/"",""1985-2003!H903"")"),2.51198549999999)</f>
        <v>2.51198549999999</v>
      </c>
      <c r="E52" s="75">
        <f ca="1">IFERROR(__xludf.DUMMYFUNCTION("$C46*IMPORTRANGE(""https://docs.google.com/spreadsheets/d/1xsp01RMmkav9iTy39Zaj_7tE9677EGlOJ14KU9TZn7I/"",""1985-2003!T903"")"),1.66902264)</f>
        <v>1.6690226399999999</v>
      </c>
      <c r="F52" s="75">
        <f ca="1">IFERROR(__xludf.DUMMYFUNCTION("$C46*IMPORTRANGE(""https://docs.google.com/spreadsheets/d/1xsp01RMmkav9iTy39Zaj_7tE9677EGlOJ14KU9TZn7I/"",""1985-2003!AC903"")"),390.492449999999)</f>
        <v>390.492449999999</v>
      </c>
      <c r="G52" s="72" t="s">
        <v>8</v>
      </c>
      <c r="H52" s="5"/>
      <c r="I52" s="5"/>
      <c r="J52" s="5"/>
      <c r="K52" s="2"/>
      <c r="L52" s="3"/>
      <c r="M52" s="52"/>
      <c r="N52" s="52"/>
      <c r="O52" s="52"/>
      <c r="P52" s="52"/>
      <c r="Q52" s="2"/>
      <c r="R52" s="5"/>
      <c r="S52" s="5"/>
      <c r="T52" s="5"/>
      <c r="U52" s="5"/>
      <c r="V52" s="5"/>
      <c r="W52" s="5"/>
      <c r="X52" s="5"/>
      <c r="Y52" s="5"/>
      <c r="Z52" s="5"/>
    </row>
    <row r="53" spans="1:26" ht="13.2" x14ac:dyDescent="0.25">
      <c r="A53" s="57" t="s">
        <v>81</v>
      </c>
      <c r="B53" s="58">
        <v>13</v>
      </c>
      <c r="C53" s="59">
        <f>2546.7/1000</f>
        <v>2.5467</v>
      </c>
      <c r="D53" s="71">
        <f ca="1">IFERROR(__xludf.DUMMYFUNCTION("$C47*IMPORTRANGE(""https://docs.google.com/spreadsheets/d/1xsp01RMmkav9iTy39Zaj_7tE9677EGlOJ14KU9TZn7I/"",""1985-2003!H926"")"),2.067793065)</f>
        <v>2.067793065</v>
      </c>
      <c r="E53" s="71">
        <f ca="1">IFERROR(__xludf.DUMMYFUNCTION("$C47*IMPORTRANGE(""https://docs.google.com/spreadsheets/d/1xsp01RMmkav9iTy39Zaj_7tE9677EGlOJ14KU9TZn7I/"",""1985-2003!T926"")"),1.36439452499999)</f>
        <v>1.36439452499999</v>
      </c>
      <c r="F53" s="71">
        <f ca="1">IFERROR(__xludf.DUMMYFUNCTION("$C47*IMPORTRANGE(""https://docs.google.com/spreadsheets/d/1xsp01RMmkav9iTy39Zaj_7tE9677EGlOJ14KU9TZn7I/"",""1985-2003!AC926"")"),317.777226)</f>
        <v>317.77722599999998</v>
      </c>
      <c r="G53" s="57" t="s">
        <v>8</v>
      </c>
      <c r="H53" s="5"/>
      <c r="I53" s="5"/>
      <c r="J53" s="5"/>
      <c r="K53" s="2"/>
      <c r="L53" s="3"/>
      <c r="M53" s="52"/>
      <c r="N53" s="52"/>
      <c r="O53" s="52"/>
      <c r="P53" s="52"/>
      <c r="Q53" s="2"/>
      <c r="R53" s="5"/>
      <c r="S53" s="5"/>
      <c r="T53" s="5"/>
      <c r="U53" s="5"/>
      <c r="V53" s="5"/>
      <c r="W53" s="5"/>
      <c r="X53" s="5"/>
      <c r="Y53" s="5"/>
      <c r="Z53" s="5"/>
    </row>
    <row r="54" spans="1:26" ht="13.2" x14ac:dyDescent="0.25">
      <c r="A54" s="72" t="s">
        <v>82</v>
      </c>
      <c r="B54" s="73">
        <v>47</v>
      </c>
      <c r="C54" s="74">
        <f>6831.2/1000</f>
        <v>6.8311999999999999</v>
      </c>
      <c r="D54" s="75">
        <f ca="1">IFERROR(__xludf.DUMMYFUNCTION("$C48*IMPORTRANGE(""https://docs.google.com/spreadsheets/d/1xsp01RMmkav9iTy39Zaj_7tE9677EGlOJ14KU9TZn7I/"",""1985-2003!H949"")"),5.7330846)</f>
        <v>5.7330845999999998</v>
      </c>
      <c r="E54" s="75">
        <f ca="1">IFERROR(__xludf.DUMMYFUNCTION("$C48*IMPORTRANGE(""https://docs.google.com/spreadsheets/d/1xsp01RMmkav9iTy39Zaj_7tE9677EGlOJ14KU9TZn7I/"",""1985-2003!T949"")"),3.82273952)</f>
        <v>3.8227395199999998</v>
      </c>
      <c r="F54" s="75">
        <f ca="1">IFERROR(__xludf.DUMMYFUNCTION("$C48*IMPORTRANGE(""https://docs.google.com/spreadsheets/d/1xsp01RMmkav9iTy39Zaj_7tE9677EGlOJ14KU9TZn7I/"",""1985-2003!AC949"")"),862.234064)</f>
        <v>862.23406399999999</v>
      </c>
      <c r="G54" s="72" t="s">
        <v>8</v>
      </c>
      <c r="H54" s="5"/>
      <c r="I54" s="5"/>
      <c r="J54" s="5"/>
      <c r="K54" s="2"/>
      <c r="L54" s="3"/>
      <c r="M54" s="52"/>
      <c r="N54" s="52"/>
      <c r="O54" s="52"/>
      <c r="P54" s="52"/>
      <c r="Q54" s="2"/>
      <c r="R54" s="5"/>
      <c r="S54" s="5"/>
      <c r="T54" s="5"/>
      <c r="U54" s="5"/>
      <c r="V54" s="5"/>
      <c r="W54" s="5"/>
      <c r="X54" s="5"/>
      <c r="Y54" s="5"/>
      <c r="Z54" s="5"/>
    </row>
    <row r="55" spans="1:26" ht="13.2" x14ac:dyDescent="0.25">
      <c r="A55" s="57" t="s">
        <v>83</v>
      </c>
      <c r="B55" s="58">
        <v>19</v>
      </c>
      <c r="C55" s="59">
        <f>3070.2/1000</f>
        <v>3.0701999999999998</v>
      </c>
      <c r="D55" s="71">
        <f ca="1">IFERROR(__xludf.DUMMYFUNCTION("$C49*IMPORTRANGE(""https://docs.google.com/spreadsheets/d/1xsp01RMmkav9iTy39Zaj_7tE9677EGlOJ14KU9TZn7I/"",""1985-2003!H971"")"),2.71436382)</f>
        <v>2.71436382</v>
      </c>
      <c r="E55" s="71">
        <f ca="1">IFERROR(__xludf.DUMMYFUNCTION("$C49*IMPORTRANGE(""https://docs.google.com/spreadsheets/d/1xsp01RMmkav9iTy39Zaj_7tE9677EGlOJ14KU9TZn7I/"",""1985-2003!T971"")"),1.80190037999999)</f>
        <v>1.80190037999999</v>
      </c>
      <c r="F55" s="71">
        <f ca="1">IFERROR(__xludf.DUMMYFUNCTION("$C49*IMPORTRANGE(""https://docs.google.com/spreadsheets/d/1xsp01RMmkav9iTy39Zaj_7tE9677EGlOJ14KU9TZn7I/"",""1985-2003!AC971"")"),408.090983999999)</f>
        <v>408.09098399999903</v>
      </c>
      <c r="G55" s="57" t="s">
        <v>8</v>
      </c>
      <c r="H55" s="5"/>
      <c r="I55" s="5"/>
      <c r="J55" s="5"/>
      <c r="K55" s="2"/>
      <c r="L55" s="3"/>
      <c r="M55" s="52"/>
      <c r="N55" s="52"/>
      <c r="O55" s="52"/>
      <c r="P55" s="52"/>
      <c r="Q55" s="2"/>
      <c r="R55" s="5"/>
      <c r="S55" s="5"/>
      <c r="T55" s="5"/>
      <c r="U55" s="5"/>
      <c r="V55" s="5"/>
      <c r="W55" s="5"/>
      <c r="X55" s="5"/>
      <c r="Y55" s="5"/>
      <c r="Z55" s="5"/>
    </row>
    <row r="56" spans="1:26" ht="13.2" x14ac:dyDescent="0.25">
      <c r="A56" s="72" t="s">
        <v>84</v>
      </c>
      <c r="B56" s="73">
        <v>15</v>
      </c>
      <c r="C56" s="74">
        <f>990.6/1000</f>
        <v>0.99060000000000004</v>
      </c>
      <c r="D56" s="75">
        <f ca="1">IFERROR(__xludf.DUMMYFUNCTION("$C50*IMPORTRANGE(""https://docs.google.com/spreadsheets/d/1xsp01RMmkav9iTy39Zaj_7tE9677EGlOJ14KU9TZn7I/"",""1985-2003!H995"")"),0.89545287)</f>
        <v>0.89545286999999996</v>
      </c>
      <c r="E56" s="75">
        <f ca="1">IFERROR(__xludf.DUMMYFUNCTION("$C50*IMPORTRANGE(""https://docs.google.com/spreadsheets/d/1xsp01RMmkav9iTy39Zaj_7tE9677EGlOJ14KU9TZn7I/"",""1985-2003!T995"")"),0.583958699999999)</f>
        <v>0.58395869999999905</v>
      </c>
      <c r="F56" s="75">
        <f ca="1">IFERROR(__xludf.DUMMYFUNCTION("$C50*IMPORTRANGE(""https://docs.google.com/spreadsheets/d/1xsp01RMmkav9iTy39Zaj_7tE9677EGlOJ14KU9TZn7I/"",""1985-2003!AC995"")"),132.363972)</f>
        <v>132.36397199999999</v>
      </c>
      <c r="G56" s="72" t="s">
        <v>8</v>
      </c>
      <c r="H56" s="5"/>
      <c r="I56" s="5"/>
      <c r="J56" s="5"/>
      <c r="K56" s="2"/>
      <c r="L56" s="3"/>
      <c r="M56" s="52"/>
      <c r="N56" s="52"/>
      <c r="O56" s="52"/>
      <c r="P56" s="52"/>
      <c r="Q56" s="2"/>
      <c r="R56" s="5"/>
      <c r="S56" s="5"/>
      <c r="T56" s="5"/>
      <c r="U56" s="5"/>
      <c r="V56" s="5"/>
      <c r="W56" s="5"/>
      <c r="X56" s="5"/>
      <c r="Y56" s="5"/>
      <c r="Z56" s="5"/>
    </row>
    <row r="57" spans="1:26" ht="13.2" x14ac:dyDescent="0.25">
      <c r="A57" s="57" t="s">
        <v>85</v>
      </c>
      <c r="B57" s="58">
        <v>20</v>
      </c>
      <c r="C57" s="59">
        <f>3377.2/1000</f>
        <v>3.3771999999999998</v>
      </c>
      <c r="D57" s="71">
        <f ca="1">IFERROR(__xludf.DUMMYFUNCTION("$C51*IMPORTRANGE(""https://docs.google.com/spreadsheets/d/1xsp01RMmkav9iTy39Zaj_7tE9677EGlOJ14KU9TZn7I/"",""1985-2003!H1018"")"),3.04302605999999)</f>
        <v>3.0430260599999901</v>
      </c>
      <c r="E57" s="71">
        <f ca="1">IFERROR(__xludf.DUMMYFUNCTION("$C51*IMPORTRANGE(""https://docs.google.com/spreadsheets/d/1xsp01RMmkav9iTy39Zaj_7tE9677EGlOJ14KU9TZn7I/"",""1985-2003!T1018"")"),2.01044715999999)</f>
        <v>2.0104471599999898</v>
      </c>
      <c r="F57" s="71">
        <f ca="1">IFERROR(__xludf.DUMMYFUNCTION("$C51*IMPORTRANGE(""https://docs.google.com/spreadsheets/d/1xsp01RMmkav9iTy39Zaj_7tE9677EGlOJ14KU9TZn7I/"",""1985-2003!AC1018"")"),452.595457999999)</f>
        <v>452.59545799999898</v>
      </c>
      <c r="G57" s="57" t="s">
        <v>8</v>
      </c>
      <c r="H57" s="5"/>
      <c r="I57" s="5"/>
      <c r="J57" s="5"/>
      <c r="K57" s="2"/>
      <c r="L57" s="3"/>
      <c r="M57" s="52"/>
      <c r="N57" s="52"/>
      <c r="O57" s="52"/>
      <c r="P57" s="52"/>
      <c r="Q57" s="2"/>
      <c r="R57" s="5"/>
      <c r="S57" s="5"/>
      <c r="T57" s="5"/>
      <c r="U57" s="5"/>
      <c r="V57" s="5"/>
      <c r="W57" s="5"/>
      <c r="X57" s="5"/>
      <c r="Y57" s="5"/>
      <c r="Z57" s="5"/>
    </row>
    <row r="58" spans="1:26" ht="13.2" x14ac:dyDescent="0.25">
      <c r="A58" s="72" t="s">
        <v>86</v>
      </c>
      <c r="B58" s="73">
        <v>19</v>
      </c>
      <c r="C58" s="74">
        <f>28544.8/1000</f>
        <v>28.544799999999999</v>
      </c>
      <c r="D58" s="75">
        <f ca="1">IFERROR(__xludf.DUMMYFUNCTION("$C52*IMPORTRANGE(""https://docs.google.com/spreadsheets/d/1xsp01RMmkav9iTy39Zaj_7tE9677EGlOJ14KU9TZn7I/"",""1985-2003!H1040"")"),24.83968496)</f>
        <v>24.83968496</v>
      </c>
      <c r="E58" s="75">
        <f ca="1">IFERROR(__xludf.DUMMYFUNCTION("$C52*IMPORTRANGE(""https://docs.google.com/spreadsheets/d/1xsp01RMmkav9iTy39Zaj_7tE9677EGlOJ14KU9TZn7I/"",""1985-2003!T1040"")"),16.29622632)</f>
        <v>16.296226319999999</v>
      </c>
      <c r="F58" s="75">
        <f ca="1">IFERROR(__xludf.DUMMYFUNCTION("$C52*IMPORTRANGE(""https://docs.google.com/spreadsheets/d/1xsp01RMmkav9iTy39Zaj_7tE9677EGlOJ14KU9TZn7I/"",""1985-2003!AC1040"")"),3630.327664)</f>
        <v>3630.3276639999999</v>
      </c>
      <c r="G58" s="72" t="s">
        <v>8</v>
      </c>
      <c r="H58" s="5"/>
      <c r="I58" s="5"/>
      <c r="J58" s="5"/>
      <c r="K58" s="2"/>
      <c r="L58" s="3"/>
      <c r="M58" s="52"/>
      <c r="N58" s="52"/>
      <c r="O58" s="52"/>
      <c r="P58" s="52"/>
      <c r="Q58" s="2"/>
      <c r="R58" s="5"/>
      <c r="S58" s="5"/>
      <c r="T58" s="5"/>
      <c r="U58" s="5"/>
      <c r="V58" s="5"/>
      <c r="W58" s="5"/>
      <c r="X58" s="5"/>
      <c r="Y58" s="5"/>
      <c r="Z58" s="5"/>
    </row>
    <row r="59" spans="1:26" ht="13.2" x14ac:dyDescent="0.25">
      <c r="A59" s="57" t="s">
        <v>87</v>
      </c>
      <c r="B59" s="58">
        <v>25</v>
      </c>
      <c r="C59" s="59">
        <f>2052.2/1000</f>
        <v>2.0522</v>
      </c>
      <c r="D59" s="71">
        <f ca="1">IFERROR(__xludf.DUMMYFUNCTION("$C53*IMPORTRANGE(""https://docs.google.com/spreadsheets/d/1xsp01RMmkav9iTy39Zaj_7tE9677EGlOJ14KU9TZn7I/"",""1985-2003!H1063"")"),1.71348439)</f>
        <v>1.7134843900000001</v>
      </c>
      <c r="E59" s="71">
        <f ca="1">IFERROR(__xludf.DUMMYFUNCTION("$C53*IMPORTRANGE(""https://docs.google.com/spreadsheets/d/1xsp01RMmkav9iTy39Zaj_7tE9677EGlOJ14KU9TZn7I/"",""1985-2003!T1063"")"),1.13024915)</f>
        <v>1.13024915</v>
      </c>
      <c r="F59" s="71">
        <f ca="1">IFERROR(__xludf.DUMMYFUNCTION("$C53*IMPORTRANGE(""https://docs.google.com/spreadsheets/d/1xsp01RMmkav9iTy39Zaj_7tE9677EGlOJ14KU9TZn7I/"",""1985-2003!AC1063"")"),251.640764)</f>
        <v>251.64076399999999</v>
      </c>
      <c r="G59" s="57" t="s">
        <v>8</v>
      </c>
      <c r="H59" s="5"/>
      <c r="I59" s="5"/>
      <c r="J59" s="5"/>
      <c r="K59" s="2"/>
      <c r="L59" s="3"/>
      <c r="M59" s="52"/>
      <c r="N59" s="52"/>
      <c r="O59" s="52"/>
      <c r="P59" s="52"/>
      <c r="Q59" s="2"/>
      <c r="R59" s="5"/>
      <c r="S59" s="5"/>
      <c r="T59" s="5"/>
      <c r="U59" s="5"/>
      <c r="V59" s="5"/>
      <c r="W59" s="5"/>
      <c r="X59" s="5"/>
      <c r="Y59" s="5"/>
      <c r="Z59" s="5"/>
    </row>
    <row r="60" spans="1:26" ht="13.2" x14ac:dyDescent="0.25">
      <c r="A60" s="76" t="s">
        <v>88</v>
      </c>
      <c r="B60" s="77">
        <v>76</v>
      </c>
      <c r="C60" s="78">
        <f>3636.4/1000</f>
        <v>3.6364000000000001</v>
      </c>
      <c r="D60" s="79">
        <f ca="1">IFERROR(__xludf.DUMMYFUNCTION("$C54*IMPORTRANGE(""https://docs.google.com/spreadsheets/d/1xsp01RMmkav9iTy39Zaj_7tE9677EGlOJ14KU9TZn7I/"",""1985-2003!H1086"")"),3.05166688)</f>
        <v>3.05166688</v>
      </c>
      <c r="E60" s="79">
        <f ca="1">IFERROR(__xludf.DUMMYFUNCTION("$C54*IMPORTRANGE(""https://docs.google.com/spreadsheets/d/1xsp01RMmkav9iTy39Zaj_7tE9677EGlOJ14KU9TZn7I/"",""1985-2003!T1086"")"),1.9863835)</f>
        <v>1.9863835000000001</v>
      </c>
      <c r="F60" s="79">
        <f ca="1">IFERROR(__xludf.DUMMYFUNCTION("$C54*IMPORTRANGE(""https://docs.google.com/spreadsheets/d/1xsp01RMmkav9iTy39Zaj_7tE9677EGlOJ14KU9TZn7I/"",""1985-2003!AC1086"")"),450.586324)</f>
        <v>450.58632399999999</v>
      </c>
      <c r="G60" s="76" t="s">
        <v>8</v>
      </c>
      <c r="H60" s="5"/>
      <c r="I60" s="5"/>
      <c r="J60" s="5"/>
      <c r="K60" s="2"/>
      <c r="L60" s="3"/>
      <c r="M60" s="52"/>
      <c r="N60" s="52"/>
      <c r="O60" s="52"/>
      <c r="P60" s="52"/>
      <c r="Q60" s="2"/>
      <c r="R60" s="5"/>
      <c r="S60" s="5"/>
      <c r="T60" s="5"/>
      <c r="U60" s="5"/>
      <c r="V60" s="5"/>
      <c r="W60" s="5"/>
      <c r="X60" s="5"/>
      <c r="Y60" s="5"/>
      <c r="Z60" s="5"/>
    </row>
    <row r="61" spans="1:26" ht="13.2" x14ac:dyDescent="0.25">
      <c r="A61" s="68">
        <v>1989</v>
      </c>
      <c r="B61" s="69"/>
      <c r="C61" s="70"/>
      <c r="D61" s="70"/>
      <c r="E61" s="70"/>
      <c r="F61" s="70"/>
      <c r="G61" s="68"/>
      <c r="H61" s="5"/>
      <c r="I61" s="5"/>
      <c r="J61" s="5"/>
      <c r="K61" s="2"/>
      <c r="L61" s="3"/>
      <c r="M61" s="52"/>
      <c r="N61" s="52"/>
      <c r="O61" s="52"/>
      <c r="P61" s="52"/>
      <c r="Q61" s="2"/>
      <c r="R61" s="5"/>
      <c r="S61" s="5"/>
      <c r="T61" s="5"/>
      <c r="U61" s="5"/>
      <c r="V61" s="5"/>
      <c r="W61" s="5"/>
      <c r="X61" s="5"/>
      <c r="Y61" s="5"/>
      <c r="Z61" s="5"/>
    </row>
    <row r="62" spans="1:26" ht="13.2" x14ac:dyDescent="0.25">
      <c r="A62" s="57" t="s">
        <v>89</v>
      </c>
      <c r="B62" s="58">
        <v>15</v>
      </c>
      <c r="C62" s="59">
        <f>1174.8/1000</f>
        <v>1.1747999999999998</v>
      </c>
      <c r="D62" s="71">
        <f ca="1">IFERROR(__xludf.DUMMYFUNCTION("$C56*IMPORTRANGE(""https://docs.google.com/spreadsheets/d/1xsp01RMmkav9iTy39Zaj_7tE9677EGlOJ14KU9TZn7I/"",""1985-2003!H1110"")"),1.03100448)</f>
        <v>1.03100448</v>
      </c>
      <c r="E62" s="71">
        <f ca="1">IFERROR(__xludf.DUMMYFUNCTION("$C56*IMPORTRANGE(""https://docs.google.com/spreadsheets/d/1xsp01RMmkav9iTy39Zaj_7tE9677EGlOJ14KU9TZn7I/"",""1985-2003!T1110"")"),0.66423192)</f>
        <v>0.66423191999999998</v>
      </c>
      <c r="F62" s="71">
        <f ca="1">IFERROR(__xludf.DUMMYFUNCTION("$C56*IMPORTRANGE(""https://docs.google.com/spreadsheets/d/1xsp01RMmkav9iTy39Zaj_7tE9677EGlOJ14KU9TZn7I/"",""1985-2003!AC1110"")"),149.610779999999)</f>
        <v>149.61077999999901</v>
      </c>
      <c r="G62" s="57" t="s">
        <v>8</v>
      </c>
      <c r="H62" s="5"/>
      <c r="I62" s="5"/>
      <c r="J62" s="5"/>
      <c r="K62" s="2"/>
      <c r="L62" s="3"/>
      <c r="M62" s="52"/>
      <c r="N62" s="52"/>
      <c r="O62" s="52"/>
      <c r="P62" s="52"/>
      <c r="Q62" s="2"/>
      <c r="R62" s="5"/>
      <c r="S62" s="5"/>
      <c r="T62" s="5"/>
      <c r="U62" s="5"/>
      <c r="V62" s="5"/>
      <c r="W62" s="5"/>
      <c r="X62" s="5"/>
      <c r="Y62" s="5"/>
      <c r="Z62" s="5"/>
    </row>
    <row r="63" spans="1:26" ht="13.2" x14ac:dyDescent="0.25">
      <c r="A63" s="72" t="s">
        <v>90</v>
      </c>
      <c r="B63" s="73">
        <v>5</v>
      </c>
      <c r="C63" s="74">
        <f>599.6/1000</f>
        <v>0.59960000000000002</v>
      </c>
      <c r="D63" s="75">
        <f ca="1">IFERROR(__xludf.DUMMYFUNCTION("$C57*IMPORTRANGE(""https://docs.google.com/spreadsheets/d/1xsp01RMmkav9iTy39Zaj_7tE9677EGlOJ14KU9TZn7I/"",""1985-2003!H1131"")"),0.52902708)</f>
        <v>0.52902707999999998</v>
      </c>
      <c r="E63" s="75">
        <f ca="1">IFERROR(__xludf.DUMMYFUNCTION("$C57*IMPORTRANGE(""https://docs.google.com/spreadsheets/d/1xsp01RMmkav9iTy39Zaj_7tE9677EGlOJ14KU9TZn7I/"",""1985-2003!T1131"")"),0.3422217)</f>
        <v>0.34222170000000002</v>
      </c>
      <c r="F63" s="75">
        <f ca="1">IFERROR(__xludf.DUMMYFUNCTION("$C57*IMPORTRANGE(""https://docs.google.com/spreadsheets/d/1xsp01RMmkav9iTy39Zaj_7tE9677EGlOJ14KU9TZn7I/"",""1985-2003!AC1131"")"),76.083244)</f>
        <v>76.083243999999993</v>
      </c>
      <c r="G63" s="72" t="s">
        <v>8</v>
      </c>
      <c r="H63" s="5"/>
      <c r="I63" s="5"/>
      <c r="J63" s="5"/>
      <c r="K63" s="2"/>
      <c r="L63" s="3"/>
      <c r="M63" s="52"/>
      <c r="N63" s="52"/>
      <c r="O63" s="52"/>
      <c r="P63" s="52"/>
      <c r="Q63" s="2"/>
      <c r="R63" s="5"/>
      <c r="S63" s="5"/>
      <c r="T63" s="5"/>
      <c r="U63" s="5"/>
      <c r="V63" s="5"/>
      <c r="W63" s="5"/>
      <c r="X63" s="5"/>
      <c r="Y63" s="5"/>
      <c r="Z63" s="5"/>
    </row>
    <row r="64" spans="1:26" ht="13.2" x14ac:dyDescent="0.25">
      <c r="A64" s="57" t="s">
        <v>91</v>
      </c>
      <c r="B64" s="58">
        <v>13</v>
      </c>
      <c r="C64" s="59">
        <f>2430/1000</f>
        <v>2.4300000000000002</v>
      </c>
      <c r="D64" s="71">
        <f ca="1">IFERROR(__xludf.DUMMYFUNCTION("$C58*IMPORTRANGE(""https://docs.google.com/spreadsheets/d/1xsp01RMmkav9iTy39Zaj_7tE9677EGlOJ14KU9TZn7I/"",""1985-2003!H1155"")"),2.162943)</f>
        <v>2.1629429999999998</v>
      </c>
      <c r="E64" s="71">
        <f ca="1">IFERROR(__xludf.DUMMYFUNCTION("$C58*IMPORTRANGE(""https://docs.google.com/spreadsheets/d/1xsp01RMmkav9iTy39Zaj_7tE9677EGlOJ14KU9TZn7I/"",""1985-2003!T1155"")"),1.411344)</f>
        <v>1.4113439999999999</v>
      </c>
      <c r="F64" s="71">
        <f ca="1">IFERROR(__xludf.DUMMYFUNCTION("$C58*IMPORTRANGE(""https://docs.google.com/spreadsheets/d/1xsp01RMmkav9iTy39Zaj_7tE9677EGlOJ14KU9TZn7I/"",""1985-2003!AC1155"")"),318.0384)</f>
        <v>318.03840000000002</v>
      </c>
      <c r="G64" s="57" t="s">
        <v>8</v>
      </c>
      <c r="H64" s="5"/>
      <c r="I64" s="5"/>
      <c r="J64" s="5"/>
      <c r="K64" s="2"/>
      <c r="L64" s="3"/>
      <c r="M64" s="52"/>
      <c r="N64" s="52"/>
      <c r="O64" s="52"/>
      <c r="P64" s="52"/>
      <c r="Q64" s="2"/>
      <c r="R64" s="5"/>
      <c r="S64" s="5"/>
      <c r="T64" s="5"/>
      <c r="U64" s="5"/>
      <c r="V64" s="5"/>
      <c r="W64" s="5"/>
      <c r="X64" s="5"/>
      <c r="Y64" s="5"/>
      <c r="Z64" s="5"/>
    </row>
    <row r="65" spans="1:26" ht="13.2" x14ac:dyDescent="0.25">
      <c r="A65" s="72" t="s">
        <v>92</v>
      </c>
      <c r="B65" s="73">
        <v>29</v>
      </c>
      <c r="C65" s="74">
        <f>5559.1/1000</f>
        <v>5.5590999999999999</v>
      </c>
      <c r="D65" s="75">
        <f ca="1">IFERROR(__xludf.DUMMYFUNCTION("$C59*IMPORTRANGE(""https://docs.google.com/spreadsheets/d/1xsp01RMmkav9iTy39Zaj_7tE9677EGlOJ14KU9TZn7I/"",""1985-2003!H1176"")"),4.953991965)</f>
        <v>4.9539919650000002</v>
      </c>
      <c r="E65" s="75">
        <f ca="1">IFERROR(__xludf.DUMMYFUNCTION("$C59*IMPORTRANGE(""https://docs.google.com/spreadsheets/d/1xsp01RMmkav9iTy39Zaj_7tE9677EGlOJ14KU9TZn7I/"",""1985-2003!T1176"")"),3.26652716)</f>
        <v>3.2665271599999999</v>
      </c>
      <c r="F65" s="75">
        <f ca="1">IFERROR(__xludf.DUMMYFUNCTION("$C59*IMPORTRANGE(""https://docs.google.com/spreadsheets/d/1xsp01RMmkav9iTy39Zaj_7tE9677EGlOJ14KU9TZn7I/"",""1985-2003!AC1176"")"),733.7734045)</f>
        <v>733.77340449999997</v>
      </c>
      <c r="G65" s="72" t="s">
        <v>8</v>
      </c>
      <c r="H65" s="5"/>
      <c r="I65" s="5"/>
      <c r="J65" s="5"/>
      <c r="K65" s="2"/>
      <c r="L65" s="3"/>
      <c r="M65" s="52"/>
      <c r="N65" s="52"/>
      <c r="O65" s="52"/>
      <c r="P65" s="52"/>
      <c r="Q65" s="2"/>
      <c r="R65" s="5"/>
      <c r="S65" s="5"/>
      <c r="T65" s="5"/>
      <c r="U65" s="5"/>
      <c r="V65" s="5"/>
      <c r="W65" s="5"/>
      <c r="X65" s="5"/>
      <c r="Y65" s="5"/>
      <c r="Z65" s="5"/>
    </row>
    <row r="66" spans="1:26" ht="13.2" x14ac:dyDescent="0.25">
      <c r="A66" s="57" t="s">
        <v>93</v>
      </c>
      <c r="B66" s="58">
        <v>12</v>
      </c>
      <c r="C66" s="59">
        <f>1167.9/1000</f>
        <v>1.1679000000000002</v>
      </c>
      <c r="D66" s="71">
        <f ca="1">IFERROR(__xludf.DUMMYFUNCTION("$C60*IMPORTRANGE(""https://docs.google.com/spreadsheets/d/1xsp01RMmkav9iTy39Zaj_7tE9677EGlOJ14KU9TZn7I/"",""1985-2003!H1200"")"),1.07995713)</f>
        <v>1.0799571299999999</v>
      </c>
      <c r="E66" s="71">
        <f ca="1">IFERROR(__xludf.DUMMYFUNCTION("$C60*IMPORTRANGE(""https://docs.google.com/spreadsheets/d/1xsp01RMmkav9iTy39Zaj_7tE9677EGlOJ14KU9TZn7I/"",""1985-2003!T1200"")"),0.71335332)</f>
        <v>0.71335331999999996</v>
      </c>
      <c r="F66" s="71">
        <f ca="1">IFERROR(__xludf.DUMMYFUNCTION("$C60*IMPORTRANGE(""https://docs.google.com/spreadsheets/d/1xsp01RMmkav9iTy39Zaj_7tE9677EGlOJ14KU9TZn7I/"",""1985-2003!AC1200"")"),160.165806)</f>
        <v>160.165806</v>
      </c>
      <c r="G66" s="57" t="s">
        <v>8</v>
      </c>
      <c r="H66" s="5"/>
      <c r="I66" s="5"/>
      <c r="J66" s="5"/>
      <c r="K66" s="2"/>
      <c r="L66" s="3"/>
      <c r="M66" s="52"/>
      <c r="N66" s="52"/>
      <c r="O66" s="52"/>
      <c r="P66" s="52"/>
      <c r="Q66" s="2"/>
      <c r="R66" s="5"/>
      <c r="S66" s="5"/>
      <c r="T66" s="5"/>
      <c r="U66" s="5"/>
      <c r="V66" s="5"/>
      <c r="W66" s="5"/>
      <c r="X66" s="5"/>
      <c r="Y66" s="5"/>
      <c r="Z66" s="5"/>
    </row>
    <row r="67" spans="1:26" ht="13.2" x14ac:dyDescent="0.25">
      <c r="A67" s="72" t="s">
        <v>94</v>
      </c>
      <c r="B67" s="73">
        <v>64</v>
      </c>
      <c r="C67" s="74">
        <f>5507.4/1000</f>
        <v>5.5073999999999996</v>
      </c>
      <c r="D67" s="75">
        <f ca="1">IFERROR(__xludf.DUMMYFUNCTION("$C61*IMPORTRANGE(""https://docs.google.com/spreadsheets/d/1xsp01RMmkav9iTy39Zaj_7tE9677EGlOJ14KU9TZn7I/"",""1985-2003!H1223"")"),5.18356488)</f>
        <v>5.1835648799999996</v>
      </c>
      <c r="E67" s="75">
        <f ca="1">IFERROR(__xludf.DUMMYFUNCTION("$C61*IMPORTRANGE(""https://docs.google.com/spreadsheets/d/1xsp01RMmkav9iTy39Zaj_7tE9677EGlOJ14KU9TZn7I/"",""1985-2003!T1223"")"),3.54153357)</f>
        <v>3.5415335699999999</v>
      </c>
      <c r="F67" s="75">
        <f ca="1">IFERROR(__xludf.DUMMYFUNCTION("$C61*IMPORTRANGE(""https://docs.google.com/spreadsheets/d/1xsp01RMmkav9iTy39Zaj_7tE9677EGlOJ14KU9TZn7I/"",""1985-2003!AC1223"")"),788.604606)</f>
        <v>788.60460599999999</v>
      </c>
      <c r="G67" s="72" t="s">
        <v>8</v>
      </c>
      <c r="H67" s="5"/>
      <c r="I67" s="5"/>
      <c r="J67" s="5"/>
      <c r="K67" s="2"/>
      <c r="L67" s="3"/>
      <c r="M67" s="52"/>
      <c r="N67" s="52"/>
      <c r="O67" s="52"/>
      <c r="P67" s="52"/>
      <c r="Q67" s="2"/>
      <c r="R67" s="5"/>
      <c r="S67" s="5"/>
      <c r="T67" s="5"/>
      <c r="U67" s="5"/>
      <c r="V67" s="5"/>
      <c r="W67" s="5"/>
      <c r="X67" s="5"/>
      <c r="Y67" s="5"/>
      <c r="Z67" s="5"/>
    </row>
    <row r="68" spans="1:26" ht="13.2" x14ac:dyDescent="0.25">
      <c r="A68" s="57" t="s">
        <v>95</v>
      </c>
      <c r="B68" s="58">
        <v>17</v>
      </c>
      <c r="C68" s="59">
        <f>2978.1/1000</f>
        <v>2.9781</v>
      </c>
      <c r="D68" s="71">
        <f ca="1">IFERROR(__xludf.DUMMYFUNCTION("$C62*IMPORTRANGE(""https://docs.google.com/spreadsheets/d/1xsp01RMmkav9iTy39Zaj_7tE9677EGlOJ14KU9TZn7I/"",""1985-2003!H1245"")"),2.68803306)</f>
        <v>2.68803306</v>
      </c>
      <c r="E68" s="71">
        <f ca="1">IFERROR(__xludf.DUMMYFUNCTION("$C62*IMPORTRANGE(""https://docs.google.com/spreadsheets/d/1xsp01RMmkav9iTy39Zaj_7tE9677EGlOJ14KU9TZn7I/"",""1985-2003!T1245"")"),1.83540303)</f>
        <v>1.8354030299999999</v>
      </c>
      <c r="F68" s="71">
        <f ca="1">IFERROR(__xludf.DUMMYFUNCTION("$C62*IMPORTRANGE(""https://docs.google.com/spreadsheets/d/1xsp01RMmkav9iTy39Zaj_7tE9677EGlOJ14KU9TZn7I/"",""1985-2003!AC1245"")"),419.197355999999)</f>
        <v>419.19735599999899</v>
      </c>
      <c r="G68" s="57" t="s">
        <v>8</v>
      </c>
      <c r="H68" s="5"/>
      <c r="I68" s="5"/>
      <c r="J68" s="5"/>
      <c r="K68" s="2"/>
      <c r="L68" s="3"/>
      <c r="M68" s="52"/>
      <c r="N68" s="52"/>
      <c r="O68" s="52"/>
      <c r="P68" s="52"/>
      <c r="Q68" s="2"/>
      <c r="R68" s="5"/>
      <c r="S68" s="5"/>
      <c r="T68" s="5"/>
      <c r="U68" s="5"/>
      <c r="V68" s="5"/>
      <c r="W68" s="5"/>
      <c r="X68" s="5"/>
      <c r="Y68" s="5"/>
      <c r="Z68" s="5"/>
    </row>
    <row r="69" spans="1:26" ht="13.2" x14ac:dyDescent="0.25">
      <c r="A69" s="72" t="s">
        <v>96</v>
      </c>
      <c r="B69" s="73">
        <v>20</v>
      </c>
      <c r="C69" s="74">
        <f>1294.5/1000</f>
        <v>1.2945</v>
      </c>
      <c r="D69" s="75">
        <f ca="1">IFERROR(__xludf.DUMMYFUNCTION("$C63*IMPORTRANGE(""https://docs.google.com/spreadsheets/d/1xsp01RMmkav9iTy39Zaj_7tE9677EGlOJ14KU9TZn7I/"",""1985-2003!H1269"")"),1.19417625)</f>
        <v>1.1941762499999999</v>
      </c>
      <c r="E69" s="75">
        <f ca="1">IFERROR(__xludf.DUMMYFUNCTION("$C63*IMPORTRANGE(""https://docs.google.com/spreadsheets/d/1xsp01RMmkav9iTy39Zaj_7tE9677EGlOJ14KU9TZn7I/"",""1985-2003!T1269"")"),0.81851235)</f>
        <v>0.81851235</v>
      </c>
      <c r="F69" s="75">
        <f ca="1">IFERROR(__xludf.DUMMYFUNCTION("$C63*IMPORTRANGE(""https://docs.google.com/spreadsheets/d/1xsp01RMmkav9iTy39Zaj_7tE9677EGlOJ14KU9TZn7I/"",""1985-2003!AC1269"")"),183.92256)</f>
        <v>183.92256</v>
      </c>
      <c r="G69" s="72" t="s">
        <v>8</v>
      </c>
      <c r="H69" s="5"/>
      <c r="I69" s="5"/>
      <c r="J69" s="5"/>
      <c r="K69" s="2"/>
      <c r="L69" s="3"/>
      <c r="M69" s="52"/>
      <c r="N69" s="52"/>
      <c r="O69" s="52"/>
      <c r="P69" s="52"/>
      <c r="Q69" s="2"/>
      <c r="R69" s="5"/>
      <c r="S69" s="5"/>
      <c r="T69" s="5"/>
      <c r="U69" s="5"/>
      <c r="V69" s="5"/>
      <c r="W69" s="5"/>
      <c r="X69" s="5"/>
      <c r="Y69" s="5"/>
      <c r="Z69" s="5"/>
    </row>
    <row r="70" spans="1:26" ht="13.2" x14ac:dyDescent="0.25">
      <c r="A70" s="57" t="s">
        <v>97</v>
      </c>
      <c r="B70" s="58">
        <v>20</v>
      </c>
      <c r="C70" s="59">
        <f>13906.8/1000</f>
        <v>13.906799999999999</v>
      </c>
      <c r="D70" s="71">
        <f ca="1">IFERROR(__xludf.DUMMYFUNCTION("$C64*IMPORTRANGE(""https://docs.google.com/spreadsheets/d/1xsp01RMmkav9iTy39Zaj_7tE9677EGlOJ14KU9TZn7I/"",""1985-2003!H1291"")"),12.9861698399999)</f>
        <v>12.986169839999899</v>
      </c>
      <c r="E70" s="71">
        <f ca="1">IFERROR(__xludf.DUMMYFUNCTION("$C64*IMPORTRANGE(""https://docs.google.com/spreadsheets/d/1xsp01RMmkav9iTy39Zaj_7tE9677EGlOJ14KU9TZn7I/"",""1985-2003!T1291"")"),8.89896132)</f>
        <v>8.8989613199999997</v>
      </c>
      <c r="F70" s="71">
        <f ca="1">IFERROR(__xludf.DUMMYFUNCTION("$C64*IMPORTRANGE(""https://docs.google.com/spreadsheets/d/1xsp01RMmkav9iTy39Zaj_7tE9677EGlOJ14KU9TZn7I/"",""1985-2003!AC1291"")"),2029.97559599999)</f>
        <v>2029.97559599999</v>
      </c>
      <c r="G70" s="57" t="s">
        <v>8</v>
      </c>
      <c r="H70" s="5"/>
      <c r="I70" s="5"/>
      <c r="J70" s="5"/>
      <c r="K70" s="2"/>
      <c r="L70" s="3"/>
      <c r="M70" s="52"/>
      <c r="N70" s="52"/>
      <c r="O70" s="52"/>
      <c r="P70" s="52"/>
      <c r="Q70" s="2"/>
      <c r="R70" s="5"/>
      <c r="S70" s="5"/>
      <c r="T70" s="5"/>
      <c r="U70" s="5"/>
      <c r="V70" s="5"/>
      <c r="W70" s="5"/>
      <c r="X70" s="5"/>
      <c r="Y70" s="5"/>
      <c r="Z70" s="5"/>
    </row>
    <row r="71" spans="1:26" ht="13.2" x14ac:dyDescent="0.25">
      <c r="A71" s="72" t="s">
        <v>98</v>
      </c>
      <c r="B71" s="73">
        <v>12</v>
      </c>
      <c r="C71" s="74">
        <f>1877.5/1000</f>
        <v>1.8774999999999999</v>
      </c>
      <c r="D71" s="75">
        <f ca="1">IFERROR(__xludf.DUMMYFUNCTION("$C65*IMPORTRANGE(""https://docs.google.com/spreadsheets/d/1xsp01RMmkav9iTy39Zaj_7tE9677EGlOJ14KU9TZn7I/"",""1985-2003!H1314"")"),1.66778324999999)</f>
        <v>1.6677832499999901</v>
      </c>
      <c r="E71" s="75">
        <f ca="1">IFERROR(__xludf.DUMMYFUNCTION("$C65*IMPORTRANGE(""https://docs.google.com/spreadsheets/d/1xsp01RMmkav9iTy39Zaj_7tE9677EGlOJ14KU9TZn7I/"",""1985-2003!T1314"")"),1.182167875)</f>
        <v>1.182167875</v>
      </c>
      <c r="F71" s="75">
        <f ca="1">IFERROR(__xludf.DUMMYFUNCTION("$C65*IMPORTRANGE(""https://docs.google.com/spreadsheets/d/1xsp01RMmkav9iTy39Zaj_7tE9677EGlOJ14KU9TZn7I/"",""1985-2003!AC1314"")"),266.5580625)</f>
        <v>266.55806250000001</v>
      </c>
      <c r="G71" s="72" t="s">
        <v>8</v>
      </c>
      <c r="H71" s="5"/>
      <c r="I71" s="5"/>
      <c r="J71" s="5"/>
      <c r="K71" s="2"/>
      <c r="L71" s="3"/>
      <c r="M71" s="52"/>
      <c r="N71" s="52"/>
      <c r="O71" s="52"/>
      <c r="P71" s="52"/>
      <c r="Q71" s="2"/>
      <c r="R71" s="5"/>
      <c r="S71" s="5"/>
      <c r="T71" s="5"/>
      <c r="U71" s="5"/>
      <c r="V71" s="5"/>
      <c r="W71" s="5"/>
      <c r="X71" s="5"/>
      <c r="Y71" s="5"/>
      <c r="Z71" s="5"/>
    </row>
    <row r="72" spans="1:26" ht="13.2" x14ac:dyDescent="0.25">
      <c r="A72" s="57" t="s">
        <v>99</v>
      </c>
      <c r="B72" s="58">
        <v>20</v>
      </c>
      <c r="C72" s="59">
        <f>8568/1000</f>
        <v>8.5679999999999996</v>
      </c>
      <c r="D72" s="71">
        <f ca="1">IFERROR(__xludf.DUMMYFUNCTION("$C66*IMPORTRANGE(""https://docs.google.com/spreadsheets/d/1xsp01RMmkav9iTy39Zaj_7tE9677EGlOJ14KU9TZn7I/"",""1985-2003!H1337"")"),7.537698)</f>
        <v>7.5376979999999998</v>
      </c>
      <c r="E72" s="71">
        <f ca="1">IFERROR(__xludf.DUMMYFUNCTION("$C66*IMPORTRANGE(""https://docs.google.com/spreadsheets/d/1xsp01RMmkav9iTy39Zaj_7tE9677EGlOJ14KU9TZn7I/"",""1985-2003!T1337"")"),5.4543888)</f>
        <v>5.4543888000000003</v>
      </c>
      <c r="F72" s="71">
        <f ca="1">IFERROR(__xludf.DUMMYFUNCTION("$C66*IMPORTRANGE(""https://docs.google.com/spreadsheets/d/1xsp01RMmkav9iTy39Zaj_7tE9677EGlOJ14KU9TZn7I/"",""1985-2003!AC1337"")"),1228.8654)</f>
        <v>1228.8653999999999</v>
      </c>
      <c r="G72" s="57" t="s">
        <v>8</v>
      </c>
      <c r="H72" s="5"/>
      <c r="I72" s="5"/>
      <c r="J72" s="5"/>
      <c r="K72" s="2"/>
      <c r="L72" s="3"/>
      <c r="M72" s="52"/>
      <c r="N72" s="52"/>
      <c r="O72" s="52"/>
      <c r="P72" s="52"/>
      <c r="Q72" s="2"/>
      <c r="R72" s="5"/>
      <c r="S72" s="5"/>
      <c r="T72" s="5"/>
      <c r="U72" s="5"/>
      <c r="V72" s="5"/>
      <c r="W72" s="5"/>
      <c r="X72" s="5"/>
      <c r="Y72" s="5"/>
      <c r="Z72" s="5"/>
    </row>
    <row r="73" spans="1:26" ht="13.2" x14ac:dyDescent="0.25">
      <c r="A73" s="76" t="s">
        <v>100</v>
      </c>
      <c r="B73" s="77">
        <v>59</v>
      </c>
      <c r="C73" s="78">
        <f>2138.4/1000</f>
        <v>2.1384000000000003</v>
      </c>
      <c r="D73" s="79">
        <f ca="1">IFERROR(__xludf.DUMMYFUNCTION("$C67*IMPORTRANGE(""https://docs.google.com/spreadsheets/d/1xsp01RMmkav9iTy39Zaj_7tE9677EGlOJ14KU9TZn7I/"",""1985-2003!H1359"")"),1.78428096)</f>
        <v>1.78428096</v>
      </c>
      <c r="E73" s="79">
        <f ca="1">IFERROR(__xludf.DUMMYFUNCTION("$C67*IMPORTRANGE(""https://docs.google.com/spreadsheets/d/1xsp01RMmkav9iTy39Zaj_7tE9677EGlOJ14KU9TZn7I/"",""1985-2003!T1359"")"),1.3354308)</f>
        <v>1.3354307999999999</v>
      </c>
      <c r="F73" s="79">
        <f ca="1">IFERROR(__xludf.DUMMYFUNCTION("$C67*IMPORTRANGE(""https://docs.google.com/spreadsheets/d/1xsp01RMmkav9iTy39Zaj_7tE9677EGlOJ14KU9TZn7I/"",""1985-2003!AC1359"")"),307.395)</f>
        <v>307.39499999999998</v>
      </c>
      <c r="G73" s="76" t="s">
        <v>8</v>
      </c>
      <c r="H73" s="5"/>
      <c r="I73" s="5"/>
      <c r="J73" s="5"/>
      <c r="K73" s="2"/>
      <c r="L73" s="3"/>
      <c r="M73" s="52"/>
      <c r="N73" s="52"/>
      <c r="O73" s="52"/>
      <c r="P73" s="52"/>
      <c r="Q73" s="2"/>
      <c r="R73" s="5"/>
      <c r="S73" s="5"/>
      <c r="T73" s="5"/>
      <c r="U73" s="5"/>
      <c r="V73" s="5"/>
      <c r="W73" s="5"/>
      <c r="X73" s="5"/>
      <c r="Y73" s="5"/>
      <c r="Z73" s="5"/>
    </row>
    <row r="74" spans="1:26" ht="13.2" x14ac:dyDescent="0.25">
      <c r="A74" s="68">
        <v>1990</v>
      </c>
      <c r="B74" s="69"/>
      <c r="C74" s="70"/>
      <c r="D74" s="70"/>
      <c r="E74" s="70"/>
      <c r="F74" s="70"/>
      <c r="G74" s="68"/>
      <c r="H74" s="5"/>
      <c r="I74" s="5"/>
      <c r="J74" s="5"/>
      <c r="K74" s="2"/>
      <c r="L74" s="3"/>
      <c r="M74" s="52"/>
      <c r="N74" s="52"/>
      <c r="O74" s="52"/>
      <c r="P74" s="52"/>
      <c r="Q74" s="2"/>
      <c r="R74" s="5"/>
      <c r="S74" s="5"/>
      <c r="T74" s="5"/>
      <c r="U74" s="5"/>
      <c r="V74" s="5"/>
      <c r="W74" s="5"/>
      <c r="X74" s="5"/>
      <c r="Y74" s="5"/>
      <c r="Z74" s="5"/>
    </row>
    <row r="75" spans="1:26" ht="13.2" x14ac:dyDescent="0.25">
      <c r="A75" s="57" t="s">
        <v>101</v>
      </c>
      <c r="B75" s="58">
        <v>45</v>
      </c>
      <c r="C75" s="59">
        <f>7285.6/1000</f>
        <v>7.2856000000000005</v>
      </c>
      <c r="D75" s="71">
        <f ca="1">IFERROR(__xludf.DUMMYFUNCTION("$C69*IMPORTRANGE(""https://docs.google.com/spreadsheets/d/1xsp01RMmkav9iTy39Zaj_7tE9677EGlOJ14KU9TZn7I/"",""1985-2003!H1383"")"),5.9049788)</f>
        <v>5.9049788000000003</v>
      </c>
      <c r="E75" s="71">
        <f ca="1">IFERROR(__xludf.DUMMYFUNCTION("$C69*IMPORTRANGE(""https://docs.google.com/spreadsheets/d/1xsp01RMmkav9iTy39Zaj_7tE9677EGlOJ14KU9TZn7I/"",""1985-2003!T1383"")"),4.40487376)</f>
        <v>4.4048737600000001</v>
      </c>
      <c r="F75" s="71">
        <f ca="1">IFERROR(__xludf.DUMMYFUNCTION("$C69*IMPORTRANGE(""https://docs.google.com/spreadsheets/d/1xsp01RMmkav9iTy39Zaj_7tE9677EGlOJ14KU9TZn7I/"",""1985-2003!AC1383"")"),1059.32623999999)</f>
        <v>1059.3262399999901</v>
      </c>
      <c r="G75" s="57" t="s">
        <v>8</v>
      </c>
      <c r="H75" s="5"/>
      <c r="I75" s="5"/>
      <c r="J75" s="5"/>
      <c r="K75" s="2"/>
      <c r="L75" s="3"/>
      <c r="M75" s="52"/>
      <c r="N75" s="52"/>
      <c r="O75" s="52"/>
      <c r="P75" s="52"/>
      <c r="Q75" s="2"/>
      <c r="R75" s="5"/>
      <c r="S75" s="5"/>
      <c r="T75" s="5"/>
      <c r="U75" s="5"/>
      <c r="V75" s="5"/>
      <c r="W75" s="5"/>
      <c r="X75" s="5"/>
      <c r="Y75" s="5"/>
      <c r="Z75" s="5"/>
    </row>
    <row r="76" spans="1:26" ht="13.2" x14ac:dyDescent="0.25">
      <c r="A76" s="72" t="s">
        <v>102</v>
      </c>
      <c r="B76" s="73">
        <v>15</v>
      </c>
      <c r="C76" s="74">
        <f>5416.3/1000</f>
        <v>5.4163000000000006</v>
      </c>
      <c r="D76" s="75">
        <f ca="1">IFERROR(__xludf.DUMMYFUNCTION("$C70*IMPORTRANGE(""https://docs.google.com/spreadsheets/d/1xsp01RMmkav9iTy39Zaj_7tE9677EGlOJ14KU9TZn7I/"",""1985-2003!H1404"")"),4.352267865)</f>
        <v>4.352267865</v>
      </c>
      <c r="E76" s="75">
        <f ca="1">IFERROR(__xludf.DUMMYFUNCTION("$C70*IMPORTRANGE(""https://docs.google.com/spreadsheets/d/1xsp01RMmkav9iTy39Zaj_7tE9677EGlOJ14KU9TZn7I/"",""1985-2003!T1404"")"),3.195346185)</f>
        <v>3.195346185</v>
      </c>
      <c r="F76" s="75">
        <f ca="1">IFERROR(__xludf.DUMMYFUNCTION("$C70*IMPORTRANGE(""https://docs.google.com/spreadsheets/d/1xsp01RMmkav9iTy39Zaj_7tE9677EGlOJ14KU9TZn7I/"",""1985-2003!T1404"")"),3.195346185)</f>
        <v>3.195346185</v>
      </c>
      <c r="G76" s="72" t="s">
        <v>8</v>
      </c>
      <c r="H76" s="5"/>
      <c r="I76" s="5"/>
      <c r="J76" s="5"/>
      <c r="K76" s="2"/>
      <c r="L76" s="3"/>
      <c r="M76" s="52"/>
      <c r="N76" s="52"/>
      <c r="O76" s="52"/>
      <c r="P76" s="52"/>
      <c r="Q76" s="2"/>
      <c r="R76" s="5"/>
      <c r="S76" s="5"/>
      <c r="T76" s="5"/>
      <c r="U76" s="5"/>
      <c r="V76" s="5"/>
      <c r="W76" s="5"/>
      <c r="X76" s="5"/>
      <c r="Y76" s="5"/>
      <c r="Z76" s="5"/>
    </row>
    <row r="77" spans="1:26" ht="13.2" x14ac:dyDescent="0.25">
      <c r="A77" s="57" t="s">
        <v>103</v>
      </c>
      <c r="B77" s="58">
        <v>23</v>
      </c>
      <c r="C77" s="59">
        <f>3245.3/1000</f>
        <v>3.2453000000000003</v>
      </c>
      <c r="D77" s="71">
        <f ca="1">IFERROR(__xludf.DUMMYFUNCTION("$C71*IMPORTRANGE(""https://docs.google.com/spreadsheets/d/1xsp01RMmkav9iTy39Zaj_7tE9677EGlOJ14KU9TZn7I/"",""1985-2003!H1427"")"),2.648002535)</f>
        <v>2.6480025349999998</v>
      </c>
      <c r="E77" s="71">
        <f ca="1">IFERROR(__xludf.DUMMYFUNCTION("$C71*IMPORTRANGE(""https://docs.google.com/spreadsheets/d/1xsp01RMmkav9iTy39Zaj_7tE9677EGlOJ14KU9TZn7I/"",""1985-2003!T1427"")"),2.00137651)</f>
        <v>2.0013765100000001</v>
      </c>
      <c r="F77" s="71">
        <f ca="1">IFERROR(__xludf.DUMMYFUNCTION("$C71*IMPORTRANGE(""https://docs.google.com/spreadsheets/d/1xsp01RMmkav9iTy39Zaj_7tE9677EGlOJ14KU9TZn7I/"",""1985-2003!AC1427"")"),495.589763)</f>
        <v>495.589763</v>
      </c>
      <c r="G77" s="57" t="s">
        <v>8</v>
      </c>
      <c r="H77" s="5"/>
      <c r="I77" s="5"/>
      <c r="J77" s="5"/>
      <c r="K77" s="2"/>
      <c r="L77" s="3"/>
      <c r="M77" s="52"/>
      <c r="N77" s="52"/>
      <c r="O77" s="52"/>
      <c r="P77" s="52"/>
      <c r="Q77" s="2"/>
      <c r="R77" s="5"/>
      <c r="S77" s="5"/>
      <c r="T77" s="5"/>
      <c r="U77" s="5"/>
      <c r="V77" s="5"/>
      <c r="W77" s="5"/>
      <c r="X77" s="5"/>
      <c r="Y77" s="5"/>
      <c r="Z77" s="5"/>
    </row>
    <row r="78" spans="1:26" ht="13.2" x14ac:dyDescent="0.25">
      <c r="A78" s="72" t="s">
        <v>104</v>
      </c>
      <c r="B78" s="73">
        <v>18</v>
      </c>
      <c r="C78" s="74">
        <f>4004.7/1000</f>
        <v>4.0046999999999997</v>
      </c>
      <c r="D78" s="75">
        <f ca="1">IFERROR(__xludf.DUMMYFUNCTION("$C72*IMPORTRANGE(""https://docs.google.com/spreadsheets/d/1xsp01RMmkav9iTy39Zaj_7tE9677EGlOJ14KU9TZn7I/"",""1985-2003!H1449"")"),3.21377175)</f>
        <v>3.2137717499999998</v>
      </c>
      <c r="E78" s="75">
        <f ca="1">IFERROR(__xludf.DUMMYFUNCTION("$C72*IMPORTRANGE(""https://docs.google.com/spreadsheets/d/1xsp01RMmkav9iTy39Zaj_7tE9677EGlOJ14KU9TZn7I/"",""1985-2003!T1449"")"),2.44727216999999)</f>
        <v>2.44727216999999</v>
      </c>
      <c r="F78" s="75">
        <f ca="1">IFERROR(__xludf.DUMMYFUNCTION("$C72*IMPORTRANGE(""https://docs.google.com/spreadsheets/d/1xsp01RMmkav9iTy39Zaj_7tE9677EGlOJ14KU9TZn7I/"",""1985-2003!AC1449"")"),635.505842999999)</f>
        <v>635.505842999999</v>
      </c>
      <c r="G78" s="72" t="s">
        <v>8</v>
      </c>
      <c r="H78" s="5"/>
      <c r="I78" s="5"/>
      <c r="J78" s="5"/>
      <c r="K78" s="2"/>
      <c r="L78" s="3"/>
      <c r="M78" s="52"/>
      <c r="N78" s="52"/>
      <c r="O78" s="52"/>
      <c r="P78" s="52"/>
      <c r="Q78" s="2"/>
      <c r="R78" s="5"/>
      <c r="S78" s="5"/>
      <c r="T78" s="5"/>
      <c r="U78" s="5"/>
      <c r="V78" s="5"/>
      <c r="W78" s="5"/>
      <c r="X78" s="5"/>
      <c r="Y78" s="5"/>
      <c r="Z78" s="5"/>
    </row>
    <row r="79" spans="1:26" ht="13.2" x14ac:dyDescent="0.25">
      <c r="A79" s="57" t="s">
        <v>105</v>
      </c>
      <c r="B79" s="58">
        <v>14</v>
      </c>
      <c r="C79" s="59">
        <f>267.9/1000</f>
        <v>0.26789999999999997</v>
      </c>
      <c r="D79" s="71">
        <f ca="1">IFERROR(__xludf.DUMMYFUNCTION("$C73*IMPORTRANGE(""https://docs.google.com/spreadsheets/d/1xsp01RMmkav9iTy39Zaj_7tE9677EGlOJ14KU9TZn7I/"",""1985-2003!H1473"")"),0.213087659999999)</f>
        <v>0.21308765999999901</v>
      </c>
      <c r="E79" s="71">
        <f ca="1">IFERROR(__xludf.DUMMYFUNCTION("$C73*IMPORTRANGE(""https://docs.google.com/spreadsheets/d/1xsp01RMmkav9iTy39Zaj_7tE9677EGlOJ14KU9TZn7I/"",""1985-2003!T1473"")"),0.159427289999999)</f>
        <v>0.159427289999999</v>
      </c>
      <c r="F79" s="71">
        <f ca="1">IFERROR(__xludf.DUMMYFUNCTION("$C73*IMPORTRANGE(""https://docs.google.com/spreadsheets/d/1xsp01RMmkav9iTy39Zaj_7tE9677EGlOJ14KU9TZn7I/"",""1985-2003!AC1473"")"),40.8226019999999)</f>
        <v>40.822601999999897</v>
      </c>
      <c r="G79" s="57" t="s">
        <v>8</v>
      </c>
      <c r="H79" s="5"/>
      <c r="I79" s="5"/>
      <c r="J79" s="5"/>
      <c r="K79" s="2"/>
      <c r="L79" s="3"/>
      <c r="M79" s="52"/>
      <c r="N79" s="52"/>
      <c r="O79" s="52"/>
      <c r="P79" s="52"/>
      <c r="Q79" s="2"/>
      <c r="R79" s="5"/>
      <c r="S79" s="5"/>
      <c r="T79" s="5"/>
      <c r="U79" s="5"/>
      <c r="V79" s="5"/>
      <c r="W79" s="5"/>
      <c r="X79" s="5"/>
      <c r="Y79" s="5"/>
      <c r="Z79" s="5"/>
    </row>
    <row r="80" spans="1:26" ht="13.2" x14ac:dyDescent="0.25">
      <c r="A80" s="72" t="s">
        <v>106</v>
      </c>
      <c r="B80" s="73">
        <v>55</v>
      </c>
      <c r="C80" s="74">
        <f>8130.8/1000</f>
        <v>8.1308000000000007</v>
      </c>
      <c r="D80" s="75">
        <f ca="1">IFERROR(__xludf.DUMMYFUNCTION("$C74*IMPORTRANGE(""https://docs.google.com/spreadsheets/d/1xsp01RMmkav9iTy39Zaj_7tE9677EGlOJ14KU9TZn7I/"",""1985-2003!H1495"")"),6.53391088)</f>
        <v>6.5339108799999996</v>
      </c>
      <c r="E80" s="75">
        <f ca="1">IFERROR(__xludf.DUMMYFUNCTION("$C74*IMPORTRANGE(""https://docs.google.com/spreadsheets/d/1xsp01RMmkav9iTy39Zaj_7tE9677EGlOJ14KU9TZn7I/"",""1985-2003!T1495"")"),4.75733108)</f>
        <v>4.7573310800000002</v>
      </c>
      <c r="F80" s="75">
        <f ca="1">IFERROR(__xludf.DUMMYFUNCTION("$C74*IMPORTRANGE(""https://docs.google.com/spreadsheets/d/1xsp01RMmkav9iTy39Zaj_7tE9677EGlOJ14KU9TZn7I/"",""1985-2003!AC1495"")"),1251.73666)</f>
        <v>1251.73666</v>
      </c>
      <c r="G80" s="72" t="s">
        <v>8</v>
      </c>
      <c r="H80" s="5"/>
      <c r="I80" s="5"/>
      <c r="J80" s="5"/>
      <c r="K80" s="2"/>
      <c r="L80" s="3"/>
      <c r="M80" s="52"/>
      <c r="N80" s="52"/>
      <c r="O80" s="52"/>
      <c r="P80" s="52"/>
      <c r="Q80" s="2"/>
      <c r="R80" s="5"/>
      <c r="S80" s="5"/>
      <c r="T80" s="5"/>
      <c r="U80" s="5"/>
      <c r="V80" s="5"/>
      <c r="W80" s="5"/>
      <c r="X80" s="5"/>
      <c r="Y80" s="5"/>
      <c r="Z80" s="5"/>
    </row>
    <row r="81" spans="1:26" ht="13.2" x14ac:dyDescent="0.25">
      <c r="A81" s="57" t="s">
        <v>107</v>
      </c>
      <c r="B81" s="58">
        <v>20</v>
      </c>
      <c r="C81" s="59">
        <f>5423.6/1000</f>
        <v>5.4236000000000004</v>
      </c>
      <c r="D81" s="71">
        <f ca="1">IFERROR(__xludf.DUMMYFUNCTION("$C75*IMPORTRANGE(""https://docs.google.com/spreadsheets/d/1xsp01RMmkav9iTy39Zaj_7tE9677EGlOJ14KU9TZn7I/"",""1985-2003!H1518"")"),4.23664514)</f>
        <v>4.2366451400000003</v>
      </c>
      <c r="E81" s="71">
        <f ca="1">IFERROR(__xludf.DUMMYFUNCTION("$C75*IMPORTRANGE(""https://docs.google.com/spreadsheets/d/1xsp01RMmkav9iTy39Zaj_7tE9677EGlOJ14KU9TZn7I/"",""1985-2003!T1518"")"),2.9978949)</f>
        <v>2.9978948999999999</v>
      </c>
      <c r="F81" s="71">
        <f ca="1">IFERROR(__xludf.DUMMYFUNCTION("$C75*IMPORTRANGE(""https://docs.google.com/spreadsheets/d/1xsp01RMmkav9iTy39Zaj_7tE9677EGlOJ14KU9TZn7I/"",""1985-2003!AC1518"")"),805.594426)</f>
        <v>805.594426</v>
      </c>
      <c r="G81" s="57" t="s">
        <v>8</v>
      </c>
      <c r="H81" s="5"/>
      <c r="I81" s="5"/>
      <c r="J81" s="5"/>
      <c r="K81" s="2"/>
      <c r="L81" s="3"/>
      <c r="M81" s="52"/>
      <c r="N81" s="52"/>
      <c r="O81" s="52"/>
      <c r="P81" s="52"/>
      <c r="Q81" s="2"/>
      <c r="R81" s="5"/>
      <c r="S81" s="5"/>
      <c r="T81" s="5"/>
      <c r="U81" s="5"/>
      <c r="V81" s="5"/>
      <c r="W81" s="5"/>
      <c r="X81" s="5"/>
      <c r="Y81" s="5"/>
      <c r="Z81" s="5"/>
    </row>
    <row r="82" spans="1:26" ht="13.2" x14ac:dyDescent="0.25">
      <c r="A82" s="72" t="s">
        <v>108</v>
      </c>
      <c r="B82" s="73">
        <v>19</v>
      </c>
      <c r="C82" s="74">
        <f>2335.7/1000</f>
        <v>2.3356999999999997</v>
      </c>
      <c r="D82" s="75">
        <f ca="1">IFERROR(__xludf.DUMMYFUNCTION("$C76*IMPORTRANGE(""https://docs.google.com/spreadsheets/d/1xsp01RMmkav9iTy39Zaj_7tE9677EGlOJ14KU9TZn7I/"",""1985-2003!H1542"")"),1.74196505999999)</f>
        <v>1.7419650599999901</v>
      </c>
      <c r="E82" s="75">
        <f ca="1">IFERROR(__xludf.DUMMYFUNCTION("$C76*IMPORTRANGE(""https://docs.google.com/spreadsheets/d/1xsp01RMmkav9iTy39Zaj_7tE9677EGlOJ14KU9TZn7I/"",""1985-2003!T1542"")"),1.23301603)</f>
        <v>1.2330160299999999</v>
      </c>
      <c r="F82" s="75">
        <f ca="1">IFERROR(__xludf.DUMMYFUNCTION("$C76*IMPORTRANGE(""https://docs.google.com/spreadsheets/d/1xsp01RMmkav9iTy39Zaj_7tE9677EGlOJ14KU9TZn7I/"",""1985-2003!AC1542"")"),343.861753999999)</f>
        <v>343.861753999999</v>
      </c>
      <c r="G82" s="72" t="s">
        <v>8</v>
      </c>
      <c r="H82" s="5"/>
      <c r="I82" s="5"/>
      <c r="J82" s="5"/>
      <c r="K82" s="2"/>
      <c r="L82" s="3"/>
      <c r="M82" s="52"/>
      <c r="N82" s="52"/>
      <c r="O82" s="52"/>
      <c r="P82" s="52"/>
      <c r="Q82" s="2"/>
      <c r="R82" s="5"/>
      <c r="S82" s="5"/>
      <c r="T82" s="5"/>
      <c r="U82" s="5"/>
      <c r="V82" s="5"/>
      <c r="W82" s="5"/>
      <c r="X82" s="5"/>
      <c r="Y82" s="5"/>
      <c r="Z82" s="5"/>
    </row>
    <row r="83" spans="1:26" ht="13.2" x14ac:dyDescent="0.25">
      <c r="A83" s="57" t="s">
        <v>109</v>
      </c>
      <c r="B83" s="58">
        <v>13</v>
      </c>
      <c r="C83" s="59">
        <f>2873.2/1000</f>
        <v>2.8731999999999998</v>
      </c>
      <c r="D83" s="71">
        <f ca="1">IFERROR(__xludf.DUMMYFUNCTION("$C77*IMPORTRANGE(""https://docs.google.com/spreadsheets/d/1xsp01RMmkav9iTy39Zaj_7tE9677EGlOJ14KU9TZn7I/"",""1985-2003!H1563"")"),2.14900994)</f>
        <v>2.14900994</v>
      </c>
      <c r="E83" s="71">
        <f ca="1">IFERROR(__xludf.DUMMYFUNCTION("$C77*IMPORTRANGE(""https://docs.google.com/spreadsheets/d/1xsp01RMmkav9iTy39Zaj_7tE9677EGlOJ14KU9TZn7I/"",""1985-2003!T1563"")"),1.53385781999999)</f>
        <v>1.5338578199999899</v>
      </c>
      <c r="F83" s="71">
        <f ca="1">IFERROR(__xludf.DUMMYFUNCTION("$C77*IMPORTRANGE(""https://docs.google.com/spreadsheets/d/1xsp01RMmkav9iTy39Zaj_7tE9677EGlOJ14KU9TZn7I/"",""1985-2003!AC1563"")"),396.659626)</f>
        <v>396.659626</v>
      </c>
      <c r="G83" s="57" t="s">
        <v>8</v>
      </c>
      <c r="H83" s="5"/>
      <c r="I83" s="5"/>
      <c r="J83" s="5"/>
      <c r="K83" s="2"/>
      <c r="L83" s="3"/>
      <c r="M83" s="52"/>
      <c r="N83" s="52"/>
      <c r="O83" s="52"/>
      <c r="P83" s="52"/>
      <c r="Q83" s="2"/>
      <c r="R83" s="5"/>
      <c r="S83" s="5"/>
      <c r="T83" s="5"/>
      <c r="U83" s="5"/>
      <c r="V83" s="5"/>
      <c r="W83" s="5"/>
      <c r="X83" s="5"/>
      <c r="Y83" s="5"/>
      <c r="Z83" s="5"/>
    </row>
    <row r="84" spans="1:26" ht="13.2" x14ac:dyDescent="0.25">
      <c r="A84" s="72" t="s">
        <v>110</v>
      </c>
      <c r="B84" s="73">
        <v>12</v>
      </c>
      <c r="C84" s="74">
        <f>403.8/1000</f>
        <v>0.40379999999999999</v>
      </c>
      <c r="D84" s="75">
        <f ca="1">IFERROR(__xludf.DUMMYFUNCTION("$C78*IMPORTRANGE(""https://docs.google.com/spreadsheets/d/1xsp01RMmkav9iTy39Zaj_7tE9677EGlOJ14KU9TZn7I/"",""1985-2003!H1587"")"),0.293279939999999)</f>
        <v>0.29327993999999902</v>
      </c>
      <c r="E84" s="75">
        <f ca="1">IFERROR(__xludf.DUMMYFUNCTION("$C78*IMPORTRANGE(""https://docs.google.com/spreadsheets/d/1xsp01RMmkav9iTy39Zaj_7tE9677EGlOJ14KU9TZn7I/"",""1985-2003!T1587"")"),0.20666484)</f>
        <v>0.20666483999999999</v>
      </c>
      <c r="F84" s="75">
        <f ca="1">IFERROR(__xludf.DUMMYFUNCTION("$C78*IMPORTRANGE(""https://docs.google.com/spreadsheets/d/1xsp01RMmkav9iTy39Zaj_7tE9677EGlOJ14KU9TZn7I/"",""1985-2003!AC1587"")"),51.98925)</f>
        <v>51.989249999999998</v>
      </c>
      <c r="G84" s="72" t="s">
        <v>8</v>
      </c>
      <c r="H84" s="5"/>
      <c r="I84" s="5"/>
      <c r="J84" s="5"/>
      <c r="K84" s="2"/>
      <c r="L84" s="3"/>
      <c r="M84" s="52"/>
      <c r="N84" s="52"/>
      <c r="O84" s="52"/>
      <c r="P84" s="52"/>
      <c r="Q84" s="2"/>
      <c r="R84" s="5"/>
      <c r="S84" s="5"/>
      <c r="T84" s="5"/>
      <c r="U84" s="5"/>
      <c r="V84" s="5"/>
      <c r="W84" s="5"/>
      <c r="X84" s="5"/>
      <c r="Y84" s="5"/>
      <c r="Z84" s="5"/>
    </row>
    <row r="85" spans="1:26" ht="13.2" x14ac:dyDescent="0.25">
      <c r="A85" s="57" t="s">
        <v>111</v>
      </c>
      <c r="B85" s="58">
        <v>10</v>
      </c>
      <c r="C85" s="59">
        <f>468.1/1000</f>
        <v>0.46810000000000002</v>
      </c>
      <c r="D85" s="71">
        <f ca="1">IFERROR(__xludf.DUMMYFUNCTION("$C79*IMPORTRANGE(""https://docs.google.com/spreadsheets/d/1xsp01RMmkav9iTy39Zaj_7tE9677EGlOJ14KU9TZn7I/"",""1985-2003!H1610"")"),0.331999925)</f>
        <v>0.33199992499999997</v>
      </c>
      <c r="E85" s="71">
        <f ca="1">IFERROR(__xludf.DUMMYFUNCTION("$C79*IMPORTRANGE(""https://docs.google.com/spreadsheets/d/1xsp01RMmkav9iTy39Zaj_7tE9677EGlOJ14KU9TZn7I/"",""1985-2003!T1610"")"),0.238145875)</f>
        <v>0.23814587500000001</v>
      </c>
      <c r="F85" s="71">
        <f ca="1">IFERROR(__xludf.DUMMYFUNCTION("$C79*IMPORTRANGE(""https://docs.google.com/spreadsheets/d/1xsp01RMmkav9iTy39Zaj_7tE9677EGlOJ14KU9TZn7I/"",""1985-2003!AC1610"")"),60.3638354999999)</f>
        <v>60.363835499999901</v>
      </c>
      <c r="G85" s="57" t="s">
        <v>8</v>
      </c>
      <c r="H85" s="5"/>
      <c r="I85" s="5"/>
      <c r="J85" s="5"/>
      <c r="K85" s="2"/>
      <c r="L85" s="3"/>
      <c r="M85" s="52"/>
      <c r="N85" s="52"/>
      <c r="O85" s="52"/>
      <c r="P85" s="52"/>
      <c r="Q85" s="2"/>
      <c r="R85" s="5"/>
      <c r="S85" s="5"/>
      <c r="T85" s="5"/>
      <c r="U85" s="5"/>
      <c r="V85" s="5"/>
      <c r="W85" s="5"/>
      <c r="X85" s="5"/>
      <c r="Y85" s="5"/>
      <c r="Z85" s="5"/>
    </row>
    <row r="86" spans="1:26" ht="13.2" x14ac:dyDescent="0.25">
      <c r="A86" s="76" t="s">
        <v>112</v>
      </c>
      <c r="B86" s="77">
        <v>51</v>
      </c>
      <c r="C86" s="78">
        <f>814.3/1000</f>
        <v>0.81429999999999991</v>
      </c>
      <c r="D86" s="79">
        <f ca="1">IFERROR(__xludf.DUMMYFUNCTION("$C80*IMPORTRANGE(""https://docs.google.com/spreadsheets/d/1xsp01RMmkav9iTy39Zaj_7tE9677EGlOJ14KU9TZn7I/"",""1985-2003!H1632"")"),0.5830388)</f>
        <v>0.58303879999999997</v>
      </c>
      <c r="E86" s="79">
        <f ca="1">IFERROR(__xludf.DUMMYFUNCTION("$C80*IMPORTRANGE(""https://docs.google.com/spreadsheets/d/1xsp01RMmkav9iTy39Zaj_7tE9677EGlOJ14KU9TZn7I/"",""1985-2003!T1632"")"),0.421888829999999)</f>
        <v>0.42188882999999899</v>
      </c>
      <c r="F86" s="79">
        <f ca="1">IFERROR(__xludf.DUMMYFUNCTION("$C80*IMPORTRANGE(""https://docs.google.com/spreadsheets/d/1xsp01RMmkav9iTy39Zaj_7tE9677EGlOJ14KU9TZn7I/"",""1985-2003!AC1632"")"),108.798623)</f>
        <v>108.79862300000001</v>
      </c>
      <c r="G86" s="76" t="s">
        <v>8</v>
      </c>
      <c r="H86" s="5"/>
      <c r="I86" s="5"/>
      <c r="J86" s="5"/>
      <c r="K86" s="2"/>
      <c r="L86" s="3"/>
      <c r="M86" s="52"/>
      <c r="N86" s="52"/>
      <c r="O86" s="52"/>
      <c r="P86" s="52"/>
      <c r="Q86" s="2"/>
      <c r="R86" s="5"/>
      <c r="S86" s="5"/>
      <c r="T86" s="5"/>
      <c r="U86" s="5"/>
      <c r="V86" s="5"/>
      <c r="W86" s="5"/>
      <c r="X86" s="5"/>
      <c r="Y86" s="5"/>
      <c r="Z86" s="5"/>
    </row>
    <row r="87" spans="1:26" ht="13.2" x14ac:dyDescent="0.25">
      <c r="A87" s="68">
        <v>1991</v>
      </c>
      <c r="B87" s="69"/>
      <c r="C87" s="70"/>
      <c r="D87" s="70"/>
      <c r="E87" s="70"/>
      <c r="F87" s="70"/>
      <c r="G87" s="68"/>
      <c r="H87" s="5"/>
      <c r="I87" s="5"/>
      <c r="J87" s="5"/>
      <c r="K87" s="2"/>
      <c r="L87" s="3"/>
      <c r="M87" s="52"/>
      <c r="N87" s="52"/>
      <c r="O87" s="52"/>
      <c r="P87" s="52"/>
      <c r="Q87" s="2"/>
      <c r="R87" s="5"/>
      <c r="S87" s="5"/>
      <c r="T87" s="5"/>
      <c r="U87" s="5"/>
      <c r="V87" s="5"/>
      <c r="W87" s="5"/>
      <c r="X87" s="5"/>
      <c r="Y87" s="5"/>
      <c r="Z87" s="5"/>
    </row>
    <row r="88" spans="1:26" ht="13.2" x14ac:dyDescent="0.25">
      <c r="A88" s="57" t="s">
        <v>113</v>
      </c>
      <c r="B88" s="58">
        <v>14</v>
      </c>
      <c r="C88" s="59">
        <f>5683.1/1000</f>
        <v>5.6831000000000005</v>
      </c>
      <c r="D88" s="71">
        <f ca="1">IFERROR(__xludf.DUMMYFUNCTION("$C82*IMPORTRANGE(""https://docs.google.com/spreadsheets/d/1xsp01RMmkav9iTy39Zaj_7tE9677EGlOJ14KU9TZn7I/"",""1985-2003!H1656"")"),4.090979535)</f>
        <v>4.0909795349999998</v>
      </c>
      <c r="E88" s="71">
        <f ca="1">IFERROR(__xludf.DUMMYFUNCTION("$C82*IMPORTRANGE(""https://docs.google.com/spreadsheets/d/1xsp01RMmkav9iTy39Zaj_7tE9677EGlOJ14KU9TZn7I/"",""1985-2003!T1656"")"),2.93304791)</f>
        <v>2.93304791</v>
      </c>
      <c r="F88" s="71">
        <f ca="1">IFERROR(__xludf.DUMMYFUNCTION("$C82*IMPORTRANGE(""https://docs.google.com/spreadsheets/d/1xsp01RMmkav9iTy39Zaj_7tE9677EGlOJ14KU9TZn7I/"",""1985-2003!AC1656"")"),754.431525)</f>
        <v>754.43152499999997</v>
      </c>
      <c r="G88" s="57" t="s">
        <v>8</v>
      </c>
      <c r="H88" s="5"/>
      <c r="I88" s="5"/>
      <c r="J88" s="5"/>
      <c r="K88" s="2"/>
      <c r="L88" s="3"/>
      <c r="M88" s="52"/>
      <c r="N88" s="52"/>
      <c r="O88" s="52"/>
      <c r="P88" s="52"/>
      <c r="Q88" s="2"/>
      <c r="R88" s="5"/>
      <c r="S88" s="5"/>
      <c r="T88" s="5"/>
      <c r="U88" s="5"/>
      <c r="V88" s="5"/>
      <c r="W88" s="5"/>
      <c r="X88" s="5"/>
      <c r="Y88" s="5"/>
      <c r="Z88" s="5"/>
    </row>
    <row r="89" spans="1:26" ht="13.2" x14ac:dyDescent="0.25">
      <c r="A89" s="72" t="s">
        <v>114</v>
      </c>
      <c r="B89" s="73">
        <v>11</v>
      </c>
      <c r="C89" s="74">
        <f>2727.4/1000</f>
        <v>2.7274000000000003</v>
      </c>
      <c r="D89" s="75">
        <f ca="1">IFERROR(__xludf.DUMMYFUNCTION("$C83*IMPORTRANGE(""https://docs.google.com/spreadsheets/d/1xsp01RMmkav9iTy39Zaj_7tE9677EGlOJ14KU9TZn7I/"",""1985-2003!H1677"")"),1.9241807)</f>
        <v>1.9241807</v>
      </c>
      <c r="E89" s="75">
        <f ca="1">IFERROR(__xludf.DUMMYFUNCTION("$C83*IMPORTRANGE(""https://docs.google.com/spreadsheets/d/1xsp01RMmkav9iTy39Zaj_7tE9677EGlOJ14KU9TZn7I/"",""1985-2003!T1677"")"),1.38115536)</f>
        <v>1.3811553599999999</v>
      </c>
      <c r="F89" s="75">
        <f ca="1">IFERROR(__xludf.DUMMYFUNCTION("$C83*IMPORTRANGE(""https://docs.google.com/spreadsheets/d/1xsp01RMmkav9iTy39Zaj_7tE9677EGlOJ14KU9TZn7I/"",""1985-2003!AC1677"")"),356.102981)</f>
        <v>356.102981</v>
      </c>
      <c r="G89" s="72" t="s">
        <v>8</v>
      </c>
      <c r="H89" s="5"/>
      <c r="I89" s="5"/>
      <c r="J89" s="5"/>
      <c r="K89" s="2"/>
      <c r="L89" s="3"/>
      <c r="M89" s="52"/>
      <c r="N89" s="52"/>
      <c r="O89" s="52"/>
      <c r="P89" s="52"/>
      <c r="Q89" s="2"/>
      <c r="R89" s="5"/>
      <c r="S89" s="5"/>
      <c r="T89" s="5"/>
      <c r="U89" s="5"/>
      <c r="V89" s="5"/>
      <c r="W89" s="5"/>
      <c r="X89" s="5"/>
      <c r="Y89" s="5"/>
      <c r="Z89" s="5"/>
    </row>
    <row r="90" spans="1:26" ht="13.2" x14ac:dyDescent="0.25">
      <c r="A90" s="57" t="s">
        <v>115</v>
      </c>
      <c r="B90" s="58">
        <v>20</v>
      </c>
      <c r="C90" s="59">
        <f>1044.9/1000</f>
        <v>1.0449000000000002</v>
      </c>
      <c r="D90" s="71">
        <f ca="1">IFERROR(__xludf.DUMMYFUNCTION("$C84*IMPORTRANGE(""https://docs.google.com/spreadsheets/d/1xsp01RMmkav9iTy39Zaj_7tE9677EGlOJ14KU9TZn7I/"",""1985-2003!H1699"")"),0.79381053)</f>
        <v>0.79381053000000001</v>
      </c>
      <c r="E90" s="71">
        <f ca="1">IFERROR(__xludf.DUMMYFUNCTION("$C84*IMPORTRANGE(""https://docs.google.com/spreadsheets/d/1xsp01RMmkav9iTy39Zaj_7tE9677EGlOJ14KU9TZn7I/"",""1985-2003!T1699"")"),0.56675376)</f>
        <v>0.56675376</v>
      </c>
      <c r="F90" s="71">
        <f ca="1">IFERROR(__xludf.DUMMYFUNCTION("$C84*IMPORTRANGE(""https://docs.google.com/spreadsheets/d/1xsp01RMmkav9iTy39Zaj_7tE9677EGlOJ14KU9TZn7I/"",""1985-2003!AC1699"")"),143.725995)</f>
        <v>143.72599500000001</v>
      </c>
      <c r="G90" s="57" t="s">
        <v>8</v>
      </c>
      <c r="H90" s="5"/>
      <c r="I90" s="5"/>
      <c r="J90" s="5"/>
      <c r="K90" s="2"/>
      <c r="L90" s="3"/>
      <c r="M90" s="52"/>
      <c r="N90" s="52"/>
      <c r="O90" s="52"/>
      <c r="P90" s="52"/>
      <c r="Q90" s="2"/>
      <c r="R90" s="5"/>
      <c r="S90" s="5"/>
      <c r="T90" s="5"/>
      <c r="U90" s="5"/>
      <c r="V90" s="5"/>
      <c r="W90" s="5"/>
      <c r="X90" s="5"/>
      <c r="Y90" s="5"/>
      <c r="Z90" s="5"/>
    </row>
    <row r="91" spans="1:26" ht="13.2" x14ac:dyDescent="0.25">
      <c r="A91" s="72" t="s">
        <v>116</v>
      </c>
      <c r="B91" s="73">
        <v>14</v>
      </c>
      <c r="C91" s="74">
        <f>259.4/1000</f>
        <v>0.25939999999999996</v>
      </c>
      <c r="D91" s="75">
        <f ca="1">IFERROR(__xludf.DUMMYFUNCTION("$C85*IMPORTRANGE(""https://docs.google.com/spreadsheets/d/1xsp01RMmkav9iTy39Zaj_7tE9677EGlOJ14KU9TZn7I/"",""1985-2003!H1722"")"),0.208142559999999)</f>
        <v>0.20814255999999901</v>
      </c>
      <c r="E91" s="75">
        <f ca="1">IFERROR(__xludf.DUMMYFUNCTION("$C85*IMPORTRANGE(""https://docs.google.com/spreadsheets/d/1xsp01RMmkav9iTy39Zaj_7tE9677EGlOJ14KU9TZn7I/"",""1985-2003!T1722"")"),0.14609408)</f>
        <v>0.14609407999999999</v>
      </c>
      <c r="F91" s="75">
        <f ca="1">IFERROR(__xludf.DUMMYFUNCTION("$C85*IMPORTRANGE(""https://docs.google.com/spreadsheets/d/1xsp01RMmkav9iTy39Zaj_7tE9677EGlOJ14KU9TZn7I/"",""1985-2003!AC1722"")"),35.6104319999999)</f>
        <v>35.610431999999903</v>
      </c>
      <c r="G91" s="72" t="s">
        <v>8</v>
      </c>
      <c r="H91" s="5"/>
      <c r="I91" s="5"/>
      <c r="J91" s="5"/>
      <c r="K91" s="2"/>
      <c r="L91" s="3"/>
      <c r="M91" s="52"/>
      <c r="N91" s="52"/>
      <c r="O91" s="52"/>
      <c r="P91" s="52"/>
      <c r="Q91" s="2"/>
      <c r="R91" s="5"/>
      <c r="S91" s="5"/>
      <c r="T91" s="5"/>
      <c r="U91" s="5"/>
      <c r="V91" s="5"/>
      <c r="W91" s="5"/>
      <c r="X91" s="5"/>
      <c r="Y91" s="5"/>
      <c r="Z91" s="5"/>
    </row>
    <row r="92" spans="1:26" ht="13.2" x14ac:dyDescent="0.25">
      <c r="A92" s="57" t="s">
        <v>117</v>
      </c>
      <c r="B92" s="58">
        <v>15</v>
      </c>
      <c r="C92" s="59">
        <f>548.2/1000</f>
        <v>0.54820000000000002</v>
      </c>
      <c r="D92" s="71">
        <f ca="1">IFERROR(__xludf.DUMMYFUNCTION("$C86*IMPORTRANGE(""https://docs.google.com/spreadsheets/d/1xsp01RMmkav9iTy39Zaj_7tE9677EGlOJ14KU9TZn7I/"",""1985-2003!H1746"")"),0.45023666)</f>
        <v>0.45023666000000001</v>
      </c>
      <c r="E92" s="71">
        <f ca="1">IFERROR(__xludf.DUMMYFUNCTION("$C86*IMPORTRANGE(""https://docs.google.com/spreadsheets/d/1xsp01RMmkav9iTy39Zaj_7tE9677EGlOJ14KU9TZn7I/"",""1985-2003!T1746"")"),0.317956)</f>
        <v>0.31795600000000002</v>
      </c>
      <c r="F92" s="71">
        <f ca="1">IFERROR(__xludf.DUMMYFUNCTION("$C86*IMPORTRANGE(""https://docs.google.com/spreadsheets/d/1xsp01RMmkav9iTy39Zaj_7tE9677EGlOJ14KU9TZn7I/"",""1985-2003!AC1746"")"),75.722866)</f>
        <v>75.722865999999996</v>
      </c>
      <c r="G92" s="57" t="s">
        <v>8</v>
      </c>
      <c r="H92" s="5"/>
      <c r="I92" s="5"/>
      <c r="J92" s="5"/>
      <c r="K92" s="2"/>
      <c r="L92" s="3"/>
      <c r="M92" s="52"/>
      <c r="N92" s="52"/>
      <c r="O92" s="52"/>
      <c r="P92" s="52"/>
      <c r="Q92" s="2"/>
      <c r="R92" s="5"/>
      <c r="S92" s="5"/>
      <c r="T92" s="5"/>
      <c r="U92" s="5"/>
      <c r="V92" s="5"/>
      <c r="W92" s="5"/>
      <c r="X92" s="5"/>
      <c r="Y92" s="5"/>
      <c r="Z92" s="5"/>
    </row>
    <row r="93" spans="1:26" ht="13.2" x14ac:dyDescent="0.25">
      <c r="A93" s="72" t="s">
        <v>118</v>
      </c>
      <c r="B93" s="73">
        <v>62</v>
      </c>
      <c r="C93" s="74">
        <f>2106.3/1000</f>
        <v>2.1063000000000001</v>
      </c>
      <c r="D93" s="75">
        <f ca="1">IFERROR(__xludf.DUMMYFUNCTION("$C87*IMPORTRANGE(""https://docs.google.com/spreadsheets/d/1xsp01RMmkav9iTy39Zaj_7tE9677EGlOJ14KU9TZn7I/"",""1985-2003!H1767"")"),1.801623705)</f>
        <v>1.8016237049999999</v>
      </c>
      <c r="E93" s="75">
        <f ca="1">IFERROR(__xludf.DUMMYFUNCTION("$C87*IMPORTRANGE(""https://docs.google.com/spreadsheets/d/1xsp01RMmkav9iTy39Zaj_7tE9677EGlOJ14KU9TZn7I/"",""1985-2003!T1767"")"),1.284843)</f>
        <v>1.284843</v>
      </c>
      <c r="F93" s="75">
        <f ca="1">IFERROR(__xludf.DUMMYFUNCTION("$C87*IMPORTRANGE(""https://docs.google.com/spreadsheets/d/1xsp01RMmkav9iTy39Zaj_7tE9677EGlOJ14KU9TZn7I/"",""1985-2003!AC1767"")"),293.19696)</f>
        <v>293.19695999999999</v>
      </c>
      <c r="G93" s="72" t="s">
        <v>8</v>
      </c>
      <c r="H93" s="5"/>
      <c r="I93" s="5"/>
      <c r="J93" s="5"/>
      <c r="K93" s="2"/>
      <c r="L93" s="3"/>
      <c r="M93" s="52"/>
      <c r="N93" s="52"/>
      <c r="O93" s="52"/>
      <c r="P93" s="52"/>
      <c r="Q93" s="2"/>
      <c r="R93" s="5"/>
      <c r="S93" s="5"/>
      <c r="T93" s="5"/>
      <c r="U93" s="5"/>
      <c r="V93" s="5"/>
      <c r="W93" s="5"/>
      <c r="X93" s="5"/>
      <c r="Y93" s="5"/>
      <c r="Z93" s="5"/>
    </row>
    <row r="94" spans="1:26" ht="13.2" x14ac:dyDescent="0.25">
      <c r="A94" s="57" t="s">
        <v>119</v>
      </c>
      <c r="B94" s="58">
        <v>20</v>
      </c>
      <c r="C94" s="59">
        <f>7429/1000</f>
        <v>7.4290000000000003</v>
      </c>
      <c r="D94" s="71">
        <f ca="1">IFERROR(__xludf.DUMMYFUNCTION("$C88*IMPORTRANGE(""https://docs.google.com/spreadsheets/d/1xsp01RMmkav9iTy39Zaj_7tE9677EGlOJ14KU9TZn7I/"",""1985-2003!H1791"")"),6.3651672)</f>
        <v>6.3651672000000001</v>
      </c>
      <c r="E94" s="71">
        <f ca="1">IFERROR(__xludf.DUMMYFUNCTION("$C88*IMPORTRANGE(""https://docs.google.com/spreadsheets/d/1xsp01RMmkav9iTy39Zaj_7tE9677EGlOJ14KU9TZn7I/"",""1985-2003!T1791"")"),4.5079172)</f>
        <v>4.5079171999999996</v>
      </c>
      <c r="F94" s="71">
        <f ca="1">IFERROR(__xludf.DUMMYFUNCTION("$C88*IMPORTRANGE(""https://docs.google.com/spreadsheets/d/1xsp01RMmkav9iTy39Zaj_7tE9677EGlOJ14KU9TZn7I/"",""1985-2003!AC1791"")"),1023.7162)</f>
        <v>1023.7162</v>
      </c>
      <c r="G94" s="57" t="s">
        <v>8</v>
      </c>
      <c r="H94" s="5"/>
      <c r="I94" s="5"/>
      <c r="J94" s="5"/>
      <c r="K94" s="2"/>
      <c r="L94" s="3"/>
      <c r="M94" s="52"/>
      <c r="N94" s="52"/>
      <c r="O94" s="52"/>
      <c r="P94" s="52"/>
      <c r="Q94" s="2"/>
      <c r="R94" s="5"/>
      <c r="S94" s="5"/>
      <c r="T94" s="5"/>
      <c r="U94" s="5"/>
      <c r="V94" s="5"/>
      <c r="W94" s="5"/>
      <c r="X94" s="5"/>
      <c r="Y94" s="5"/>
      <c r="Z94" s="5"/>
    </row>
    <row r="95" spans="1:26" ht="13.2" x14ac:dyDescent="0.25">
      <c r="A95" s="72" t="s">
        <v>120</v>
      </c>
      <c r="B95" s="73">
        <v>20</v>
      </c>
      <c r="C95" s="74">
        <f>5273.8/1000</f>
        <v>5.2738000000000005</v>
      </c>
      <c r="D95" s="75">
        <f ca="1">IFERROR(__xludf.DUMMYFUNCTION("$C89*IMPORTRANGE(""https://docs.google.com/spreadsheets/d/1xsp01RMmkav9iTy39Zaj_7tE9677EGlOJ14KU9TZn7I/"",""1985-2003!H1814"")"),4.38463732)</f>
        <v>4.3846373200000004</v>
      </c>
      <c r="E95" s="75">
        <f ca="1">IFERROR(__xludf.DUMMYFUNCTION("$C89*IMPORTRANGE(""https://docs.google.com/spreadsheets/d/1xsp01RMmkav9iTy39Zaj_7tE9677EGlOJ14KU9TZn7I/"",""1985-2003!T1814"")"),3.12314436)</f>
        <v>3.12314436</v>
      </c>
      <c r="F95" s="75">
        <f ca="1">IFERROR(__xludf.DUMMYFUNCTION("$C89*IMPORTRANGE(""https://docs.google.com/spreadsheets/d/1xsp01RMmkav9iTy39Zaj_7tE9677EGlOJ14KU9TZn7I/"",""1985-2003!AC1814"")"),721.403102)</f>
        <v>721.40310199999999</v>
      </c>
      <c r="G95" s="72" t="s">
        <v>8</v>
      </c>
      <c r="H95" s="5"/>
      <c r="I95" s="5"/>
      <c r="J95" s="5"/>
      <c r="K95" s="2"/>
      <c r="L95" s="3"/>
      <c r="M95" s="52"/>
      <c r="N95" s="52"/>
      <c r="O95" s="52"/>
      <c r="P95" s="52"/>
      <c r="Q95" s="2"/>
      <c r="R95" s="5"/>
      <c r="S95" s="5"/>
      <c r="T95" s="5"/>
      <c r="U95" s="5"/>
      <c r="V95" s="5"/>
      <c r="W95" s="5"/>
      <c r="X95" s="5"/>
      <c r="Y95" s="5"/>
      <c r="Z95" s="5"/>
    </row>
    <row r="96" spans="1:26" ht="13.2" x14ac:dyDescent="0.25">
      <c r="A96" s="57" t="s">
        <v>121</v>
      </c>
      <c r="B96" s="58">
        <v>20</v>
      </c>
      <c r="C96" s="59">
        <f>4673.1/1000</f>
        <v>4.6731000000000007</v>
      </c>
      <c r="D96" s="71">
        <f ca="1">IFERROR(__xludf.DUMMYFUNCTION("$C90*IMPORTRANGE(""https://docs.google.com/spreadsheets/d/1xsp01RMmkav9iTy39Zaj_7tE9677EGlOJ14KU9TZn7I/"",""1985-2003!H1836"")"),3.77352825)</f>
        <v>3.77352825</v>
      </c>
      <c r="E96" s="71">
        <f ca="1">IFERROR(__xludf.DUMMYFUNCTION("$C90*IMPORTRANGE(""https://docs.google.com/spreadsheets/d/1xsp01RMmkav9iTy39Zaj_7tE9677EGlOJ14KU9TZn7I/"",""1985-2003!T1836"")"),2.70011718)</f>
        <v>2.7001171799999999</v>
      </c>
      <c r="F96" s="71">
        <f ca="1">IFERROR(__xludf.DUMMYFUNCTION("$C90*IMPORTRANGE(""https://docs.google.com/spreadsheets/d/1xsp01RMmkav9iTy39Zaj_7tE9677EGlOJ14KU9TZn7I/"",""1985-2003!AC1836"")"),627.223482)</f>
        <v>627.22348199999999</v>
      </c>
      <c r="G96" s="57" t="s">
        <v>8</v>
      </c>
      <c r="H96" s="5"/>
      <c r="I96" s="5"/>
      <c r="J96" s="5"/>
      <c r="K96" s="2"/>
      <c r="L96" s="3"/>
      <c r="M96" s="52"/>
      <c r="N96" s="52"/>
      <c r="O96" s="52"/>
      <c r="P96" s="52"/>
      <c r="Q96" s="2"/>
      <c r="R96" s="5"/>
      <c r="S96" s="5"/>
      <c r="T96" s="5"/>
      <c r="U96" s="5"/>
      <c r="V96" s="5"/>
      <c r="W96" s="5"/>
      <c r="X96" s="5"/>
      <c r="Y96" s="5"/>
      <c r="Z96" s="5"/>
    </row>
    <row r="97" spans="1:26" ht="13.2" x14ac:dyDescent="0.25">
      <c r="A97" s="72" t="s">
        <v>122</v>
      </c>
      <c r="B97" s="73">
        <v>20</v>
      </c>
      <c r="C97" s="74">
        <f>317.5/1000</f>
        <v>0.3175</v>
      </c>
      <c r="D97" s="75">
        <f ca="1">IFERROR(__xludf.DUMMYFUNCTION("$C91*IMPORTRANGE(""https://docs.google.com/spreadsheets/d/1xsp01RMmkav9iTy39Zaj_7tE9677EGlOJ14KU9TZn7I/"",""1985-2003!H1860"")"),0.25758775)</f>
        <v>0.25758775</v>
      </c>
      <c r="E97" s="75">
        <f ca="1">IFERROR(__xludf.DUMMYFUNCTION("$C91*IMPORTRANGE(""https://docs.google.com/spreadsheets/d/1xsp01RMmkav9iTy39Zaj_7tE9677EGlOJ14KU9TZn7I/"",""1985-2003!T1860"")"),0.184658)</f>
        <v>0.18465799999999999</v>
      </c>
      <c r="F97" s="75">
        <f ca="1">IFERROR(__xludf.DUMMYFUNCTION("$C91*IMPORTRANGE(""https://docs.google.com/spreadsheets/d/1xsp01RMmkav9iTy39Zaj_7tE9677EGlOJ14KU9TZn7I/"",""1985-2003!AC1860"")"),41.4559749999999)</f>
        <v>41.455974999999903</v>
      </c>
      <c r="G97" s="72" t="s">
        <v>8</v>
      </c>
      <c r="H97" s="5"/>
      <c r="I97" s="5"/>
      <c r="J97" s="5"/>
      <c r="K97" s="2"/>
      <c r="L97" s="3"/>
      <c r="M97" s="52"/>
      <c r="N97" s="52"/>
      <c r="O97" s="52"/>
      <c r="P97" s="52"/>
      <c r="Q97" s="2"/>
      <c r="R97" s="5"/>
      <c r="S97" s="5"/>
      <c r="T97" s="5"/>
      <c r="U97" s="5"/>
      <c r="V97" s="5"/>
      <c r="W97" s="5"/>
      <c r="X97" s="5"/>
      <c r="Y97" s="5"/>
      <c r="Z97" s="5"/>
    </row>
    <row r="98" spans="1:26" ht="13.2" x14ac:dyDescent="0.25">
      <c r="A98" s="57" t="s">
        <v>123</v>
      </c>
      <c r="B98" s="58">
        <v>16</v>
      </c>
      <c r="C98" s="59">
        <f>618.7/1000</f>
        <v>0.61870000000000003</v>
      </c>
      <c r="D98" s="71">
        <f ca="1">IFERROR(__xludf.DUMMYFUNCTION("$C92*IMPORTRANGE(""https://docs.google.com/spreadsheets/d/1xsp01RMmkav9iTy39Zaj_7tE9677EGlOJ14KU9TZn7I/"",""1985-2003!H1882"")"),0.48462771)</f>
        <v>0.48462770999999999</v>
      </c>
      <c r="E98" s="71">
        <f ca="1">IFERROR(__xludf.DUMMYFUNCTION("$C92*IMPORTRANGE(""https://docs.google.com/spreadsheets/d/1xsp01RMmkav9iTy39Zaj_7tE9677EGlOJ14KU9TZn7I/"",""1985-2003!T1882"")"),0.34857558)</f>
        <v>0.34857558</v>
      </c>
      <c r="F98" s="71">
        <f ca="1">IFERROR(__xludf.DUMMYFUNCTION("$C92*IMPORTRANGE(""https://docs.google.com/spreadsheets/d/1xsp01RMmkav9iTy39Zaj_7tE9677EGlOJ14KU9TZn7I/"",""1985-2003!AC1882"")"),80.356756)</f>
        <v>80.356756000000004</v>
      </c>
      <c r="G98" s="57" t="s">
        <v>8</v>
      </c>
      <c r="H98" s="5"/>
      <c r="I98" s="5"/>
      <c r="J98" s="5"/>
      <c r="K98" s="2"/>
      <c r="L98" s="3"/>
      <c r="M98" s="52"/>
      <c r="N98" s="52"/>
      <c r="O98" s="52"/>
      <c r="P98" s="52"/>
      <c r="Q98" s="2"/>
      <c r="R98" s="5"/>
      <c r="S98" s="5"/>
      <c r="T98" s="5"/>
      <c r="U98" s="5"/>
      <c r="V98" s="5"/>
      <c r="W98" s="5"/>
      <c r="X98" s="5"/>
      <c r="Y98" s="5"/>
      <c r="Z98" s="5"/>
    </row>
    <row r="99" spans="1:26" ht="13.2" x14ac:dyDescent="0.25">
      <c r="A99" s="76" t="s">
        <v>124</v>
      </c>
      <c r="B99" s="77">
        <v>69</v>
      </c>
      <c r="C99" s="78">
        <f>5068.4/1000</f>
        <v>5.0683999999999996</v>
      </c>
      <c r="D99" s="79">
        <f ca="1">IFERROR(__xludf.DUMMYFUNCTION("$C93*IMPORTRANGE(""https://docs.google.com/spreadsheets/d/1xsp01RMmkav9iTy39Zaj_7tE9677EGlOJ14KU9TZn7I/"",""1985-2003!H1905"")"),3.8367788)</f>
        <v>3.8367787999999998</v>
      </c>
      <c r="E99" s="79">
        <f ca="1">IFERROR(__xludf.DUMMYFUNCTION("$C93*IMPORTRANGE(""https://docs.google.com/spreadsheets/d/1xsp01RMmkav9iTy39Zaj_7tE9677EGlOJ14KU9TZn7I/"",""1985-2003!T1905"")"),2.78483237999999)</f>
        <v>2.7848323799999899</v>
      </c>
      <c r="F99" s="79">
        <f ca="1">IFERROR(__xludf.DUMMYFUNCTION("$C93*IMPORTRANGE(""https://docs.google.com/spreadsheets/d/1xsp01RMmkav9iTy39Zaj_7tE9677EGlOJ14KU9TZn7I/"",""1985-2003!AC1905"")"),650.225036)</f>
        <v>650.22503600000005</v>
      </c>
      <c r="G99" s="76" t="s">
        <v>8</v>
      </c>
      <c r="H99" s="5"/>
      <c r="I99" s="5"/>
      <c r="J99" s="5"/>
      <c r="K99" s="2"/>
      <c r="L99" s="3"/>
      <c r="M99" s="52"/>
      <c r="N99" s="52"/>
      <c r="O99" s="52"/>
      <c r="P99" s="52"/>
      <c r="Q99" s="2"/>
      <c r="R99" s="5"/>
      <c r="S99" s="5"/>
      <c r="T99" s="5"/>
      <c r="U99" s="5"/>
      <c r="V99" s="5"/>
      <c r="W99" s="5"/>
      <c r="X99" s="5"/>
      <c r="Y99" s="5"/>
      <c r="Z99" s="5"/>
    </row>
    <row r="100" spans="1:26" ht="13.2" x14ac:dyDescent="0.25">
      <c r="A100" s="68">
        <v>1992</v>
      </c>
      <c r="B100" s="69"/>
      <c r="C100" s="70"/>
      <c r="D100" s="70"/>
      <c r="E100" s="70"/>
      <c r="F100" s="70"/>
      <c r="G100" s="68"/>
      <c r="H100" s="5"/>
      <c r="I100" s="5"/>
      <c r="J100" s="5"/>
      <c r="K100" s="2"/>
      <c r="L100" s="3"/>
      <c r="M100" s="52"/>
      <c r="N100" s="52"/>
      <c r="O100" s="52"/>
      <c r="P100" s="52"/>
      <c r="Q100" s="2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2" x14ac:dyDescent="0.25">
      <c r="A101" s="57" t="s">
        <v>125</v>
      </c>
      <c r="B101" s="58">
        <v>15</v>
      </c>
      <c r="C101" s="59">
        <f>192.4/1000</f>
        <v>0.19240000000000002</v>
      </c>
      <c r="D101" s="71">
        <f ca="1">IFERROR(__xludf.DUMMYFUNCTION("$C95*IMPORTRANGE(""https://docs.google.com/spreadsheets/d/1xsp01RMmkav9iTy39Zaj_7tE9677EGlOJ14KU9TZn7I/"",""1985-2003!H1930"")"),0.1465607)</f>
        <v>0.14656069999999999</v>
      </c>
      <c r="E101" s="71">
        <f ca="1">IFERROR(__xludf.DUMMYFUNCTION("$C95*IMPORTRANGE(""https://docs.google.com/spreadsheets/d/1xsp01RMmkav9iTy39Zaj_7tE9677EGlOJ14KU9TZn7I/"",""1985-2003!T1930"")"),0.10659922)</f>
        <v>0.10659921999999999</v>
      </c>
      <c r="F101" s="71">
        <f ca="1">IFERROR(__xludf.DUMMYFUNCTION("$C95*IMPORTRANGE(""https://docs.google.com/spreadsheets/d/1xsp01RMmkav9iTy39Zaj_7tE9677EGlOJ14KU9TZn7I/"",""1985-2003!AC1930"")"),24.03076)</f>
        <v>24.030760000000001</v>
      </c>
      <c r="G101" s="57" t="s">
        <v>8</v>
      </c>
      <c r="H101" s="5"/>
      <c r="I101" s="5"/>
      <c r="J101" s="5"/>
      <c r="K101" s="2"/>
      <c r="L101" s="3"/>
      <c r="M101" s="52"/>
      <c r="N101" s="52"/>
      <c r="O101" s="52"/>
      <c r="P101" s="52"/>
      <c r="Q101" s="2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2" x14ac:dyDescent="0.25">
      <c r="A102" s="72" t="s">
        <v>126</v>
      </c>
      <c r="B102" s="73">
        <v>22</v>
      </c>
      <c r="C102" s="74">
        <f>2258.3/1000</f>
        <v>2.2583000000000002</v>
      </c>
      <c r="D102" s="75">
        <f ca="1">IFERROR(__xludf.DUMMYFUNCTION("$C96*IMPORTRANGE(""https://docs.google.com/spreadsheets/d/1xsp01RMmkav9iTy39Zaj_7tE9677EGlOJ14KU9TZn7I/"",""1985-2003!H1951"")"),1.761586915)</f>
        <v>1.7615869150000001</v>
      </c>
      <c r="E102" s="75">
        <f ca="1">IFERROR(__xludf.DUMMYFUNCTION("$C96*IMPORTRANGE(""https://docs.google.com/spreadsheets/d/1xsp01RMmkav9iTy39Zaj_7tE9677EGlOJ14KU9TZn7I/"",""1985-2003!T1951"")"),1.27616533)</f>
        <v>1.27616533</v>
      </c>
      <c r="F102" s="75">
        <f ca="1">IFERROR(__xludf.DUMMYFUNCTION("$C96*IMPORTRANGE(""https://docs.google.com/spreadsheets/d/1xsp01RMmkav9iTy39Zaj_7tE9677EGlOJ14KU9TZn7I/"",""1985-2003!AC1951"")"),288.565574)</f>
        <v>288.56557400000003</v>
      </c>
      <c r="G102" s="72" t="s">
        <v>8</v>
      </c>
      <c r="H102" s="5"/>
      <c r="I102" s="5"/>
      <c r="J102" s="5"/>
      <c r="K102" s="2"/>
      <c r="L102" s="3"/>
      <c r="M102" s="52"/>
      <c r="N102" s="52"/>
      <c r="O102" s="52"/>
      <c r="P102" s="52"/>
      <c r="Q102" s="2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2" x14ac:dyDescent="0.25">
      <c r="A103" s="57" t="s">
        <v>127</v>
      </c>
      <c r="B103" s="58">
        <v>30</v>
      </c>
      <c r="C103" s="59">
        <f>2668.9/1000</f>
        <v>2.6689000000000003</v>
      </c>
      <c r="D103" s="71">
        <f ca="1">IFERROR(__xludf.DUMMYFUNCTION("$C97*IMPORTRANGE(""https://docs.google.com/spreadsheets/d/1xsp01RMmkav9iTy39Zaj_7tE9677EGlOJ14KU9TZn7I/"",""1985-2003!H1974"")"),2.130983205)</f>
        <v>2.1309832050000002</v>
      </c>
      <c r="E103" s="71">
        <f ca="1">IFERROR(__xludf.DUMMYFUNCTION("$C97*IMPORTRANGE(""https://docs.google.com/spreadsheets/d/1xsp01RMmkav9iTy39Zaj_7tE9677EGlOJ14KU9TZn7I/"",""1985-2003!T1974"")"),1.54769511)</f>
        <v>1.54769511</v>
      </c>
      <c r="F103" s="71">
        <f ca="1">IFERROR(__xludf.DUMMYFUNCTION("$C97*IMPORTRANGE(""https://docs.google.com/spreadsheets/d/1xsp01RMmkav9iTy39Zaj_7tE9677EGlOJ14KU9TZn7I/"",""1985-2003!AC1974"")"),354.830255)</f>
        <v>354.83025500000002</v>
      </c>
      <c r="G103" s="57" t="s">
        <v>8</v>
      </c>
      <c r="H103" s="5"/>
      <c r="I103" s="5"/>
      <c r="J103" s="5"/>
      <c r="K103" s="2"/>
      <c r="L103" s="3"/>
      <c r="M103" s="52"/>
      <c r="N103" s="52"/>
      <c r="O103" s="52"/>
      <c r="P103" s="52"/>
      <c r="Q103" s="2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2" x14ac:dyDescent="0.25">
      <c r="A104" s="72" t="s">
        <v>128</v>
      </c>
      <c r="B104" s="73">
        <v>19</v>
      </c>
      <c r="C104" s="74">
        <f>1953.1/1000</f>
        <v>1.9530999999999998</v>
      </c>
      <c r="D104" s="75">
        <f ca="1">IFERROR(__xludf.DUMMYFUNCTION("$C98*IMPORTRANGE(""https://docs.google.com/spreadsheets/d/1xsp01RMmkav9iTy39Zaj_7tE9677EGlOJ14KU9TZn7I/"",""1985-2003!H1997"")"),1.54578099499999)</f>
        <v>1.5457809949999901</v>
      </c>
      <c r="E104" s="75">
        <f ca="1">IFERROR(__xludf.DUMMYFUNCTION("$C98*IMPORTRANGE(""https://docs.google.com/spreadsheets/d/1xsp01RMmkav9iTy39Zaj_7tE9677EGlOJ14KU9TZn7I/"",""1985-2003!T1997"")"),1.10916549)</f>
        <v>1.1091654900000001</v>
      </c>
      <c r="F104" s="75">
        <f ca="1">IFERROR(__xludf.DUMMYFUNCTION("$C98*IMPORTRANGE(""https://docs.google.com/spreadsheets/d/1xsp01RMmkav9iTy39Zaj_7tE9677EGlOJ14KU9TZn7I/"",""1985-2003!AC1997"")"),260.602133)</f>
        <v>260.60213299999998</v>
      </c>
      <c r="G104" s="72" t="s">
        <v>8</v>
      </c>
      <c r="H104" s="5"/>
      <c r="I104" s="5"/>
      <c r="J104" s="5"/>
      <c r="K104" s="2"/>
      <c r="L104" s="3"/>
      <c r="M104" s="52"/>
      <c r="N104" s="52"/>
      <c r="O104" s="52"/>
      <c r="P104" s="52"/>
      <c r="Q104" s="2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2" x14ac:dyDescent="0.25">
      <c r="A105" s="57" t="s">
        <v>129</v>
      </c>
      <c r="B105" s="58">
        <v>18</v>
      </c>
      <c r="C105" s="59">
        <f>3740.2/1000</f>
        <v>3.7401999999999997</v>
      </c>
      <c r="D105" s="71">
        <f ca="1">IFERROR(__xludf.DUMMYFUNCTION("$C99*IMPORTRANGE(""https://docs.google.com/spreadsheets/d/1xsp01RMmkav9iTy39Zaj_7tE9677EGlOJ14KU9TZn7I/"",""1985-2003!H2019"")"),2.90276921999999)</f>
        <v>2.9027692199999899</v>
      </c>
      <c r="E105" s="71">
        <f ca="1">IFERROR(__xludf.DUMMYFUNCTION("$C99*IMPORTRANGE(""https://docs.google.com/spreadsheets/d/1xsp01RMmkav9iTy39Zaj_7tE9677EGlOJ14KU9TZn7I/"",""1985-2003!T2019"")"),2.06272029999999)</f>
        <v>2.0627202999999898</v>
      </c>
      <c r="F105" s="71">
        <f ca="1">IFERROR(__xludf.DUMMYFUNCTION("$C99*IMPORTRANGE(""https://docs.google.com/spreadsheets/d/1xsp01RMmkav9iTy39Zaj_7tE9677EGlOJ14KU9TZn7I/"",""1985-2003!AC2019"")"),486.562618)</f>
        <v>486.56261799999999</v>
      </c>
      <c r="G105" s="57" t="s">
        <v>8</v>
      </c>
      <c r="H105" s="5"/>
      <c r="I105" s="5"/>
      <c r="J105" s="5"/>
      <c r="K105" s="2"/>
      <c r="L105" s="3"/>
      <c r="M105" s="52"/>
      <c r="N105" s="52"/>
      <c r="O105" s="52"/>
      <c r="P105" s="52"/>
      <c r="Q105" s="2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2" x14ac:dyDescent="0.25">
      <c r="A106" s="72" t="s">
        <v>130</v>
      </c>
      <c r="B106" s="73">
        <v>63</v>
      </c>
      <c r="C106" s="74">
        <f>2876.5/1000</f>
        <v>2.8765000000000001</v>
      </c>
      <c r="D106" s="75">
        <f ca="1">IFERROR(__xludf.DUMMYFUNCTION("$C100*IMPORTRANGE(""https://docs.google.com/spreadsheets/d/1xsp01RMmkav9iTy39Zaj_7tE9677EGlOJ14KU9TZn7I/"",""1985-2003!H2042"")"),2.167874225)</f>
        <v>2.1678742249999998</v>
      </c>
      <c r="E106" s="75">
        <f ca="1">IFERROR(__xludf.DUMMYFUNCTION("$C100*IMPORTRANGE(""https://docs.google.com/spreadsheets/d/1xsp01RMmkav9iTy39Zaj_7tE9677EGlOJ14KU9TZn7I/"",""1985-2003!T2042"")"),1.54899525)</f>
        <v>1.5489952499999999</v>
      </c>
      <c r="F106" s="75">
        <f ca="1">IFERROR(__xludf.DUMMYFUNCTION("$C100*IMPORTRANGE(""https://docs.google.com/spreadsheets/d/1xsp01RMmkav9iTy39Zaj_7tE9677EGlOJ14KU9TZn7I/"",""1985-2003!AC2042"")"),365.056615)</f>
        <v>365.05661500000002</v>
      </c>
      <c r="G106" s="72" t="s">
        <v>8</v>
      </c>
      <c r="H106" s="5"/>
      <c r="I106" s="5"/>
      <c r="J106" s="5"/>
      <c r="K106" s="2"/>
      <c r="L106" s="3"/>
      <c r="M106" s="52"/>
      <c r="N106" s="52"/>
      <c r="O106" s="52"/>
      <c r="P106" s="52"/>
      <c r="Q106" s="2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2" x14ac:dyDescent="0.25">
      <c r="A107" s="57" t="s">
        <v>131</v>
      </c>
      <c r="B107" s="58">
        <v>26</v>
      </c>
      <c r="C107" s="59">
        <f>10880.8/1000</f>
        <v>10.880799999999999</v>
      </c>
      <c r="D107" s="71">
        <f ca="1">IFERROR(__xludf.DUMMYFUNCTION("$C101*IMPORTRANGE(""https://docs.google.com/spreadsheets/d/1xsp01RMmkav9iTy39Zaj_7tE9677EGlOJ14KU9TZn7I/"",""1985-2003!H2066"")"),7.76997927999999)</f>
        <v>7.7699792799999896</v>
      </c>
      <c r="E107" s="71">
        <f ca="1">IFERROR(__xludf.DUMMYFUNCTION("$C101*IMPORTRANGE(""https://docs.google.com/spreadsheets/d/1xsp01RMmkav9iTy39Zaj_7tE9677EGlOJ14KU9TZn7I/"",""1985-2003!T2066"")"),5.67324911999999)</f>
        <v>5.6732491199999897</v>
      </c>
      <c r="F107" s="71">
        <f ca="1">IFERROR(__xludf.DUMMYFUNCTION("$C101*IMPORTRANGE(""https://docs.google.com/spreadsheets/d/1xsp01RMmkav9iTy39Zaj_7tE9677EGlOJ14KU9TZn7I/"",""1985-2003!AC2066"")"),1363.47304799999)</f>
        <v>1363.4730479999901</v>
      </c>
      <c r="G107" s="57" t="s">
        <v>8</v>
      </c>
      <c r="H107" s="5"/>
      <c r="I107" s="5"/>
      <c r="J107" s="5"/>
      <c r="K107" s="2"/>
      <c r="L107" s="3"/>
      <c r="M107" s="52"/>
      <c r="N107" s="52"/>
      <c r="O107" s="52"/>
      <c r="P107" s="52"/>
      <c r="Q107" s="2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2" x14ac:dyDescent="0.25">
      <c r="A108" s="72" t="s">
        <v>132</v>
      </c>
      <c r="B108" s="73">
        <v>12</v>
      </c>
      <c r="C108" s="74">
        <f>225/1000</f>
        <v>0.22500000000000001</v>
      </c>
      <c r="D108" s="75">
        <f ca="1">IFERROR(__xludf.DUMMYFUNCTION("$C102*IMPORTRANGE(""https://docs.google.com/spreadsheets/d/1xsp01RMmkav9iTy39Zaj_7tE9677EGlOJ14KU9TZn7I/"",""1985-2003!H2088"")"),0.15816375)</f>
        <v>0.15816374999999999</v>
      </c>
      <c r="E108" s="75">
        <f ca="1">IFERROR(__xludf.DUMMYFUNCTION("$C102*IMPORTRANGE(""https://docs.google.com/spreadsheets/d/1xsp01RMmkav9iTy39Zaj_7tE9677EGlOJ14KU9TZn7I/"",""1985-2003!T2088"")"),0.11662875)</f>
        <v>0.11662875</v>
      </c>
      <c r="F108" s="75">
        <f ca="1">IFERROR(__xludf.DUMMYFUNCTION("$C102*IMPORTRANGE(""https://docs.google.com/spreadsheets/d/1xsp01RMmkav9iTy39Zaj_7tE9677EGlOJ14KU9TZn7I/"",""1985-2003!AC2088"")"),28.45575)</f>
        <v>28.455749999999998</v>
      </c>
      <c r="G108" s="72" t="s">
        <v>8</v>
      </c>
      <c r="H108" s="5"/>
      <c r="I108" s="5"/>
      <c r="J108" s="5"/>
      <c r="K108" s="2"/>
      <c r="L108" s="3"/>
      <c r="M108" s="52"/>
      <c r="N108" s="52"/>
      <c r="O108" s="52"/>
      <c r="P108" s="52"/>
      <c r="Q108" s="2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2" x14ac:dyDescent="0.25">
      <c r="A109" s="57" t="s">
        <v>133</v>
      </c>
      <c r="B109" s="58">
        <v>27</v>
      </c>
      <c r="C109" s="59">
        <f>3279.4/1000</f>
        <v>3.2793999999999999</v>
      </c>
      <c r="D109" s="71">
        <f ca="1">IFERROR(__xludf.DUMMYFUNCTION("$C103*IMPORTRANGE(""https://docs.google.com/spreadsheets/d/1xsp01RMmkav9iTy39Zaj_7tE9677EGlOJ14KU9TZn7I/"",""1985-2003!H2111"")"),2.32837399999999)</f>
        <v>2.32837399999999</v>
      </c>
      <c r="E109" s="71">
        <f ca="1">IFERROR(__xludf.DUMMYFUNCTION("$C103*IMPORTRANGE(""https://docs.google.com/spreadsheets/d/1xsp01RMmkav9iTy39Zaj_7tE9677EGlOJ14KU9TZn7I/"",""1985-2003!T2111"")"),1.75661060999999)</f>
        <v>1.7566106099999901</v>
      </c>
      <c r="F109" s="71">
        <f ca="1">IFERROR(__xludf.DUMMYFUNCTION("$C103*IMPORTRANGE(""https://docs.google.com/spreadsheets/d/1xsp01RMmkav9iTy39Zaj_7tE9677EGlOJ14KU9TZn7I/"",""1985-2003!AC2111"")"),404.218843999999)</f>
        <v>404.21884399999902</v>
      </c>
      <c r="G109" s="57" t="s">
        <v>8</v>
      </c>
      <c r="H109" s="5"/>
      <c r="I109" s="5"/>
      <c r="J109" s="5"/>
      <c r="K109" s="2"/>
      <c r="L109" s="3"/>
      <c r="M109" s="52"/>
      <c r="N109" s="52"/>
      <c r="O109" s="52"/>
      <c r="P109" s="52"/>
      <c r="Q109" s="2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2" x14ac:dyDescent="0.25">
      <c r="A110" s="72" t="s">
        <v>134</v>
      </c>
      <c r="B110" s="73">
        <v>24</v>
      </c>
      <c r="C110" s="74">
        <f>1677.6/1000</f>
        <v>1.6776</v>
      </c>
      <c r="D110" s="75">
        <f ca="1">IFERROR(__xludf.DUMMYFUNCTION("$C104*IMPORTRANGE(""https://docs.google.com/spreadsheets/d/1xsp01RMmkav9iTy39Zaj_7tE9677EGlOJ14KU9TZn7I/"",""1985-2003!H2134"")"),1.2313584)</f>
        <v>1.2313584</v>
      </c>
      <c r="E110" s="75">
        <f ca="1">IFERROR(__xludf.DUMMYFUNCTION("$C104*IMPORTRANGE(""https://docs.google.com/spreadsheets/d/1xsp01RMmkav9iTy39Zaj_7tE9677EGlOJ14KU9TZn7I/"",""1985-2003!T2134"")"),1.0006884)</f>
        <v>1.0006884</v>
      </c>
      <c r="F110" s="75">
        <f ca="1">IFERROR(__xludf.DUMMYFUNCTION("$C104*IMPORTRANGE(""https://docs.google.com/spreadsheets/d/1xsp01RMmkav9iTy39Zaj_7tE9677EGlOJ14KU9TZn7I/"",""1985-2003!AC2134"")"),203.140584)</f>
        <v>203.14058399999999</v>
      </c>
      <c r="G110" s="72" t="s">
        <v>8</v>
      </c>
      <c r="H110" s="5"/>
      <c r="I110" s="5"/>
      <c r="J110" s="5"/>
      <c r="K110" s="2"/>
      <c r="L110" s="3"/>
      <c r="M110" s="52"/>
      <c r="N110" s="52"/>
      <c r="O110" s="52"/>
      <c r="P110" s="52"/>
      <c r="Q110" s="2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2" x14ac:dyDescent="0.25">
      <c r="A111" s="57" t="s">
        <v>135</v>
      </c>
      <c r="B111" s="58">
        <v>22</v>
      </c>
      <c r="C111" s="59">
        <f>3660.3/1000</f>
        <v>3.6603000000000003</v>
      </c>
      <c r="D111" s="71">
        <f ca="1">IFERROR(__xludf.DUMMYFUNCTION("$C105*IMPORTRANGE(""https://docs.google.com/spreadsheets/d/1xsp01RMmkav9iTy39Zaj_7tE9677EGlOJ14KU9TZn7I/"",""1985-2003!H2156"")"),2.87113932)</f>
        <v>2.8711393200000002</v>
      </c>
      <c r="E111" s="71">
        <f ca="1">IFERROR(__xludf.DUMMYFUNCTION("$C105*IMPORTRANGE(""https://docs.google.com/spreadsheets/d/1xsp01RMmkav9iTy39Zaj_7tE9677EGlOJ14KU9TZn7I/"",""1985-2003!T2156"")"),2.40188886)</f>
        <v>2.4018888600000001</v>
      </c>
      <c r="F111" s="71">
        <f ca="1">IFERROR(__xludf.DUMMYFUNCTION("$C105*IMPORTRANGE(""https://docs.google.com/spreadsheets/d/1xsp01RMmkav9iTy39Zaj_7tE9677EGlOJ14KU9TZn7I/"",""1985-2003!AC2156"")"),453.657582)</f>
        <v>453.65758199999999</v>
      </c>
      <c r="G111" s="57" t="s">
        <v>8</v>
      </c>
      <c r="H111" s="5"/>
      <c r="I111" s="5"/>
      <c r="J111" s="5"/>
      <c r="K111" s="2"/>
      <c r="L111" s="3"/>
      <c r="M111" s="52"/>
      <c r="N111" s="52"/>
      <c r="O111" s="52"/>
      <c r="P111" s="52"/>
      <c r="Q111" s="2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2" x14ac:dyDescent="0.25">
      <c r="A112" s="76" t="s">
        <v>136</v>
      </c>
      <c r="B112" s="77">
        <v>96</v>
      </c>
      <c r="C112" s="78">
        <f>2344.6/1000</f>
        <v>2.3445999999999998</v>
      </c>
      <c r="D112" s="79">
        <f ca="1">IFERROR(__xludf.DUMMYFUNCTION("$C106*IMPORTRANGE(""https://docs.google.com/spreadsheets/d/1xsp01RMmkav9iTy39Zaj_7tE9677EGlOJ14KU9TZn7I/"",""1985-2003!H2180"")"),1.83629071999999)</f>
        <v>1.8362907199999901</v>
      </c>
      <c r="E112" s="79">
        <f ca="1">IFERROR(__xludf.DUMMYFUNCTION("$C106*IMPORTRANGE(""https://docs.google.com/spreadsheets/d/1xsp01RMmkav9iTy39Zaj_7tE9677EGlOJ14KU9TZn7I/"",""1985-2003!T2180"")"),1.50124738)</f>
        <v>1.5012473799999999</v>
      </c>
      <c r="F112" s="79">
        <f ca="1">IFERROR(__xludf.DUMMYFUNCTION("$C106*IMPORTRANGE(""https://docs.google.com/spreadsheets/d/1xsp01RMmkav9iTy39Zaj_7tE9677EGlOJ14KU9TZn7I/"",""1985-2003!AC2180"")"),290.495939999999)</f>
        <v>290.495939999999</v>
      </c>
      <c r="G112" s="76" t="s">
        <v>8</v>
      </c>
      <c r="H112" s="5"/>
      <c r="I112" s="5"/>
      <c r="J112" s="5"/>
      <c r="K112" s="2"/>
      <c r="L112" s="3"/>
      <c r="M112" s="52"/>
      <c r="N112" s="52"/>
      <c r="O112" s="52"/>
      <c r="P112" s="52"/>
      <c r="Q112" s="2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2" x14ac:dyDescent="0.25">
      <c r="A113" s="68">
        <v>1993</v>
      </c>
      <c r="B113" s="69"/>
      <c r="C113" s="70"/>
      <c r="D113" s="70"/>
      <c r="E113" s="70"/>
      <c r="F113" s="70"/>
      <c r="G113" s="68"/>
      <c r="H113" s="5"/>
      <c r="I113" s="5"/>
      <c r="J113" s="5"/>
      <c r="K113" s="2"/>
      <c r="L113" s="3"/>
      <c r="M113" s="52"/>
      <c r="N113" s="52"/>
      <c r="O113" s="52"/>
      <c r="P113" s="52"/>
      <c r="Q113" s="2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2" x14ac:dyDescent="0.25">
      <c r="A114" s="57" t="s">
        <v>137</v>
      </c>
      <c r="B114" s="58">
        <v>30</v>
      </c>
      <c r="C114" s="59">
        <f>2812.3/1000</f>
        <v>2.8123</v>
      </c>
      <c r="D114" s="71">
        <f ca="1">IFERROR(__xludf.DUMMYFUNCTION("$C108*IMPORTRANGE(""https://docs.google.com/spreadsheets/d/1xsp01RMmkav9iTy39Zaj_7tE9677EGlOJ14KU9TZn7I/"",""1985-2003!H2202"")"),2.27908792)</f>
        <v>2.2790879199999998</v>
      </c>
      <c r="E114" s="71">
        <f ca="1">IFERROR(__xludf.DUMMYFUNCTION("$C108*IMPORTRANGE(""https://docs.google.com/spreadsheets/d/1xsp01RMmkav9iTy39Zaj_7tE9677EGlOJ14KU9TZn7I/"",""1985-2003!T2202"")"),1.827854385)</f>
        <v>1.827854385</v>
      </c>
      <c r="F114" s="71">
        <f ca="1">IFERROR(__xludf.DUMMYFUNCTION("$C108*IMPORTRANGE(""https://docs.google.com/spreadsheets/d/1xsp01RMmkav9iTy39Zaj_7tE9677EGlOJ14KU9TZn7I/"",""1985-2003!AC2202"")"),351.931222)</f>
        <v>351.93122199999999</v>
      </c>
      <c r="G114" s="57" t="s">
        <v>8</v>
      </c>
      <c r="H114" s="5"/>
      <c r="I114" s="5"/>
      <c r="J114" s="5"/>
      <c r="K114" s="2"/>
      <c r="L114" s="3"/>
      <c r="M114" s="52"/>
      <c r="N114" s="52"/>
      <c r="O114" s="52"/>
      <c r="P114" s="52"/>
      <c r="Q114" s="2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2" x14ac:dyDescent="0.25">
      <c r="A115" s="72" t="s">
        <v>138</v>
      </c>
      <c r="B115" s="73">
        <v>20</v>
      </c>
      <c r="C115" s="74">
        <f>2082.6/1000</f>
        <v>2.0825999999999998</v>
      </c>
      <c r="D115" s="75">
        <f ca="1">IFERROR(__xludf.DUMMYFUNCTION("$C109*IMPORTRANGE(""https://docs.google.com/spreadsheets/d/1xsp01RMmkav9iTy39Zaj_7tE9677EGlOJ14KU9TZn7I/"",""1985-2003!H2223"")"),1.71876977999999)</f>
        <v>1.7187697799999899</v>
      </c>
      <c r="E115" s="75">
        <f ca="1">IFERROR(__xludf.DUMMYFUNCTION("$C109*IMPORTRANGE(""https://docs.google.com/spreadsheets/d/1xsp01RMmkav9iTy39Zaj_7tE9677EGlOJ14KU9TZn7I/"",""1985-2003!T2223"")"),1.44678221999999)</f>
        <v>1.44678221999999</v>
      </c>
      <c r="F115" s="75">
        <f ca="1">IFERROR(__xludf.DUMMYFUNCTION("$C109*IMPORTRANGE(""https://docs.google.com/spreadsheets/d/1xsp01RMmkav9iTy39Zaj_7tE9677EGlOJ14KU9TZn7I/"",""1985-2003!AC2223"")"),251.598905999999)</f>
        <v>251.598905999999</v>
      </c>
      <c r="G115" s="72" t="s">
        <v>8</v>
      </c>
      <c r="H115" s="5"/>
      <c r="I115" s="5"/>
      <c r="J115" s="5"/>
      <c r="K115" s="2"/>
      <c r="L115" s="3"/>
      <c r="M115" s="52"/>
      <c r="N115" s="52"/>
      <c r="O115" s="52"/>
      <c r="P115" s="52"/>
      <c r="Q115" s="2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2" x14ac:dyDescent="0.25">
      <c r="A116" s="57" t="s">
        <v>139</v>
      </c>
      <c r="B116" s="58">
        <v>25</v>
      </c>
      <c r="C116" s="59">
        <f>8777/1000</f>
        <v>8.7769999999999992</v>
      </c>
      <c r="D116" s="71">
        <f ca="1">IFERROR(__xludf.DUMMYFUNCTION("$C110*IMPORTRANGE(""https://docs.google.com/spreadsheets/d/1xsp01RMmkav9iTy39Zaj_7tE9677EGlOJ14KU9TZn7I/"",""1985-2003!H2247"")"),7.29280929999999)</f>
        <v>7.2928092999999903</v>
      </c>
      <c r="E116" s="71">
        <f ca="1">IFERROR(__xludf.DUMMYFUNCTION("$C110*IMPORTRANGE(""https://docs.google.com/spreadsheets/d/1xsp01RMmkav9iTy39Zaj_7tE9677EGlOJ14KU9TZn7I/"",""1985-2003!T2247"")"),6.05086379999999)</f>
        <v>6.0508637999999904</v>
      </c>
      <c r="F116" s="71">
        <f ca="1">IFERROR(__xludf.DUMMYFUNCTION("$C110*IMPORTRANGE(""https://docs.google.com/spreadsheets/d/1xsp01RMmkav9iTy39Zaj_7tE9677EGlOJ14KU9TZn7I/"",""1985-2003!AC2247"")"),1027.78669999999)</f>
        <v>1027.7866999999901</v>
      </c>
      <c r="G116" s="57" t="s">
        <v>8</v>
      </c>
      <c r="H116" s="5"/>
      <c r="I116" s="5"/>
      <c r="J116" s="5"/>
      <c r="K116" s="2"/>
      <c r="L116" s="3"/>
      <c r="M116" s="52"/>
      <c r="N116" s="52"/>
      <c r="O116" s="52"/>
      <c r="P116" s="52"/>
      <c r="Q116" s="2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2" x14ac:dyDescent="0.25">
      <c r="A117" s="72" t="s">
        <v>140</v>
      </c>
      <c r="B117" s="73">
        <v>27</v>
      </c>
      <c r="C117" s="74">
        <f>1199.5/1000</f>
        <v>1.1995</v>
      </c>
      <c r="D117" s="75">
        <f ca="1">IFERROR(__xludf.DUMMYFUNCTION("$C111*IMPORTRANGE(""https://docs.google.com/spreadsheets/d/1xsp01RMmkav9iTy39Zaj_7tE9677EGlOJ14KU9TZn7I/"",""1985-2003!H2270"")"),0.966976925)</f>
        <v>0.96697692499999999</v>
      </c>
      <c r="E117" s="75">
        <f ca="1">IFERROR(__xludf.DUMMYFUNCTION("$C111*IMPORTRANGE(""https://docs.google.com/spreadsheets/d/1xsp01RMmkav9iTy39Zaj_7tE9677EGlOJ14KU9TZn7I/"",""1985-2003!T2270"")"),0.7758366)</f>
        <v>0.77583659999999999</v>
      </c>
      <c r="F117" s="75">
        <f ca="1">IFERROR(__xludf.DUMMYFUNCTION("$C111*IMPORTRANGE(""https://docs.google.com/spreadsheets/d/1xsp01RMmkav9iTy39Zaj_7tE9677EGlOJ14KU9TZn7I/"",""1985-2003!AC2270"")"),134.94375)</f>
        <v>134.94374999999999</v>
      </c>
      <c r="G117" s="72" t="s">
        <v>8</v>
      </c>
      <c r="H117" s="5"/>
      <c r="I117" s="5"/>
      <c r="J117" s="5"/>
      <c r="K117" s="2"/>
      <c r="L117" s="3"/>
      <c r="M117" s="52"/>
      <c r="N117" s="52"/>
      <c r="O117" s="52"/>
      <c r="P117" s="52"/>
      <c r="Q117" s="2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2" x14ac:dyDescent="0.25">
      <c r="A118" s="57" t="s">
        <v>141</v>
      </c>
      <c r="B118" s="58">
        <v>17</v>
      </c>
      <c r="C118" s="59">
        <f>1568/1000</f>
        <v>1.5680000000000001</v>
      </c>
      <c r="D118" s="71">
        <f ca="1">IFERROR(__xludf.DUMMYFUNCTION("$C112*IMPORTRANGE(""https://docs.google.com/spreadsheets/d/1xsp01RMmkav9iTy39Zaj_7tE9677EGlOJ14KU9TZn7I/"",""1985-2003!H2292"")"),1.2691392)</f>
        <v>1.2691391999999999</v>
      </c>
      <c r="E118" s="71">
        <f ca="1">IFERROR(__xludf.DUMMYFUNCTION("$C112*IMPORTRANGE(""https://docs.google.com/spreadsheets/d/1xsp01RMmkav9iTy39Zaj_7tE9677EGlOJ14KU9TZn7I/"",""1985-2003!T2292"")"),1.0155936)</f>
        <v>1.0155936000000001</v>
      </c>
      <c r="F118" s="71">
        <f ca="1">IFERROR(__xludf.DUMMYFUNCTION("$C112*IMPORTRANGE(""https://docs.google.com/spreadsheets/d/1xsp01RMmkav9iTy39Zaj_7tE9677EGlOJ14KU9TZn7I/"",""1985-2003!AC2292"")"),173.51488)</f>
        <v>173.51488000000001</v>
      </c>
      <c r="G118" s="57" t="s">
        <v>8</v>
      </c>
      <c r="H118" s="5"/>
      <c r="I118" s="5"/>
      <c r="J118" s="5"/>
      <c r="K118" s="2"/>
      <c r="L118" s="3"/>
      <c r="M118" s="52"/>
      <c r="N118" s="52"/>
      <c r="O118" s="52"/>
      <c r="P118" s="52"/>
      <c r="Q118" s="2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2" x14ac:dyDescent="0.25">
      <c r="A119" s="72" t="s">
        <v>142</v>
      </c>
      <c r="B119" s="73">
        <v>71</v>
      </c>
      <c r="C119" s="74">
        <f>26217/1000</f>
        <v>26.216999999999999</v>
      </c>
      <c r="D119" s="75">
        <f ca="1">IFERROR(__xludf.DUMMYFUNCTION("$C113*IMPORTRANGE(""https://docs.google.com/spreadsheets/d/1xsp01RMmkav9iTy39Zaj_7tE9677EGlOJ14KU9TZn7I/"",""1985-2003!H2315"")"),21.655242)</f>
        <v>21.655242000000001</v>
      </c>
      <c r="E119" s="75">
        <f ca="1">IFERROR(__xludf.DUMMYFUNCTION("$C113*IMPORTRANGE(""https://docs.google.com/spreadsheets/d/1xsp01RMmkav9iTy39Zaj_7tE9677EGlOJ14KU9TZn7I/"",""1985-2003!T2315"")"),17.34647805)</f>
        <v>17.346478050000002</v>
      </c>
      <c r="F119" s="75">
        <f ca="1">IFERROR(__xludf.DUMMYFUNCTION("$C113*IMPORTRANGE(""https://docs.google.com/spreadsheets/d/1xsp01RMmkav9iTy39Zaj_7tE9677EGlOJ14KU9TZn7I/"",""1985-2003!AC2315"")"),2805.874425)</f>
        <v>2805.874425</v>
      </c>
      <c r="G119" s="72" t="s">
        <v>8</v>
      </c>
      <c r="H119" s="5"/>
      <c r="I119" s="5"/>
      <c r="J119" s="5"/>
      <c r="K119" s="2"/>
      <c r="L119" s="3"/>
      <c r="M119" s="52"/>
      <c r="N119" s="52"/>
      <c r="O119" s="52"/>
      <c r="P119" s="52"/>
      <c r="Q119" s="2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2" x14ac:dyDescent="0.25">
      <c r="A120" s="57" t="s">
        <v>143</v>
      </c>
      <c r="B120" s="58">
        <v>27</v>
      </c>
      <c r="C120" s="59">
        <f>2528.3/1000</f>
        <v>2.5283000000000002</v>
      </c>
      <c r="D120" s="71">
        <f ca="1">IFERROR(__xludf.DUMMYFUNCTION("$C114*IMPORTRANGE(""https://docs.google.com/spreadsheets/d/1xsp01RMmkav9iTy39Zaj_7tE9677EGlOJ14KU9TZn7I/"",""1985-2003!H2338"")"),2.19582855)</f>
        <v>2.1958285499999999</v>
      </c>
      <c r="E120" s="71">
        <f ca="1">IFERROR(__xludf.DUMMYFUNCTION("$C114*IMPORTRANGE(""https://docs.google.com/spreadsheets/d/1xsp01RMmkav9iTy39Zaj_7tE9677EGlOJ14KU9TZn7I/"",""1985-2003!T2338"")"),1.688019495)</f>
        <v>1.688019495</v>
      </c>
      <c r="F120" s="71">
        <f ca="1">IFERROR(__xludf.DUMMYFUNCTION("$C114*IMPORTRANGE(""https://docs.google.com/spreadsheets/d/1xsp01RMmkav9iTy39Zaj_7tE9677EGlOJ14KU9TZn7I/"",""1985-2003!AC2338"")"),272.348476)</f>
        <v>272.34847600000001</v>
      </c>
      <c r="G120" s="57" t="s">
        <v>8</v>
      </c>
      <c r="H120" s="5"/>
      <c r="I120" s="5"/>
      <c r="J120" s="5"/>
      <c r="K120" s="2"/>
      <c r="L120" s="3"/>
      <c r="M120" s="52"/>
      <c r="N120" s="52"/>
      <c r="O120" s="52"/>
      <c r="P120" s="52"/>
      <c r="Q120" s="2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2" x14ac:dyDescent="0.25">
      <c r="A121" s="72" t="s">
        <v>144</v>
      </c>
      <c r="B121" s="73">
        <v>26</v>
      </c>
      <c r="C121" s="74">
        <f>1431.2/1000</f>
        <v>1.4312</v>
      </c>
      <c r="D121" s="75">
        <f ca="1">IFERROR(__xludf.DUMMYFUNCTION("$C115*IMPORTRANGE(""https://docs.google.com/spreadsheets/d/1xsp01RMmkav9iTy39Zaj_7tE9677EGlOJ14KU9TZn7I/"",""1985-2003!H2361"")"),1.24628896)</f>
        <v>1.24628896</v>
      </c>
      <c r="E121" s="75">
        <f ca="1">IFERROR(__xludf.DUMMYFUNCTION("$C115*IMPORTRANGE(""https://docs.google.com/spreadsheets/d/1xsp01RMmkav9iTy39Zaj_7tE9677EGlOJ14KU9TZn7I/"",""1985-2003!T2361"")"),0.95761592)</f>
        <v>0.95761591999999995</v>
      </c>
      <c r="F121" s="75">
        <f ca="1">IFERROR(__xludf.DUMMYFUNCTION("$C115*IMPORTRANGE(""https://docs.google.com/spreadsheets/d/1xsp01RMmkav9iTy39Zaj_7tE9677EGlOJ14KU9TZn7I/"",""1985-2003!AC2361"")"),149.231224)</f>
        <v>149.231224</v>
      </c>
      <c r="G121" s="72" t="s">
        <v>8</v>
      </c>
      <c r="H121" s="5"/>
      <c r="I121" s="5"/>
      <c r="J121" s="5"/>
      <c r="K121" s="2"/>
      <c r="L121" s="3"/>
      <c r="M121" s="52"/>
      <c r="N121" s="52"/>
      <c r="O121" s="52"/>
      <c r="P121" s="52"/>
      <c r="Q121" s="2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2" x14ac:dyDescent="0.25">
      <c r="A122" s="57" t="s">
        <v>145</v>
      </c>
      <c r="B122" s="58">
        <v>32</v>
      </c>
      <c r="C122" s="59">
        <f>11472.1/1000</f>
        <v>11.472100000000001</v>
      </c>
      <c r="D122" s="71">
        <f ca="1">IFERROR(__xludf.DUMMYFUNCTION("$C116*IMPORTRANGE(""https://docs.google.com/spreadsheets/d/1xsp01RMmkav9iTy39Zaj_7tE9677EGlOJ14KU9TZn7I/"",""1985-2003!H2384"")"),9.553391275)</f>
        <v>9.5533912749999992</v>
      </c>
      <c r="E122" s="71">
        <f ca="1">IFERROR(__xludf.DUMMYFUNCTION("$C116*IMPORTRANGE(""https://docs.google.com/spreadsheets/d/1xsp01RMmkav9iTy39Zaj_7tE9677EGlOJ14KU9TZn7I/"",""1985-2003!T2384"")"),7.498738165)</f>
        <v>7.4987381649999998</v>
      </c>
      <c r="F122" s="71">
        <f ca="1">IFERROR(__xludf.DUMMYFUNCTION("$C116*IMPORTRANGE(""https://docs.google.com/spreadsheets/d/1xsp01RMmkav9iTy39Zaj_7tE9677EGlOJ14KU9TZn7I/"",""1985-2003!AC2384"")"),1211.568481)</f>
        <v>1211.568481</v>
      </c>
      <c r="G122" s="57" t="s">
        <v>8</v>
      </c>
      <c r="H122" s="5"/>
      <c r="I122" s="5"/>
      <c r="J122" s="5"/>
      <c r="K122" s="2"/>
      <c r="L122" s="3"/>
      <c r="M122" s="52"/>
      <c r="N122" s="52"/>
      <c r="O122" s="52"/>
      <c r="P122" s="52"/>
      <c r="Q122" s="2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2" x14ac:dyDescent="0.25">
      <c r="A123" s="72" t="s">
        <v>146</v>
      </c>
      <c r="B123" s="73">
        <v>26</v>
      </c>
      <c r="C123" s="74">
        <f>1906.6/1000</f>
        <v>1.9065999999999999</v>
      </c>
      <c r="D123" s="75">
        <f ca="1">IFERROR(__xludf.DUMMYFUNCTION("$C117*IMPORTRANGE(""https://docs.google.com/spreadsheets/d/1xsp01RMmkav9iTy39Zaj_7tE9677EGlOJ14KU9TZn7I/"",""1985-2003!H2406"")"),1.60345059999999)</f>
        <v>1.60345059999999</v>
      </c>
      <c r="E123" s="75">
        <f ca="1">IFERROR(__xludf.DUMMYFUNCTION("$C117*IMPORTRANGE(""https://docs.google.com/spreadsheets/d/1xsp01RMmkav9iTy39Zaj_7tE9677EGlOJ14KU9TZn7I/"",""1985-2003!T2406"")"),1.27132087999999)</f>
        <v>1.27132087999999</v>
      </c>
      <c r="F123" s="75">
        <f ca="1">IFERROR(__xludf.DUMMYFUNCTION("$C117*IMPORTRANGE(""https://docs.google.com/spreadsheets/d/1xsp01RMmkav9iTy39Zaj_7tE9677EGlOJ14KU9TZn7I/"",""1985-2003!AC2406"")"),204.29219)</f>
        <v>204.29219000000001</v>
      </c>
      <c r="G123" s="72" t="s">
        <v>8</v>
      </c>
      <c r="H123" s="5"/>
      <c r="I123" s="5"/>
      <c r="J123" s="5"/>
      <c r="K123" s="2"/>
      <c r="L123" s="3"/>
      <c r="M123" s="52"/>
      <c r="N123" s="52"/>
      <c r="O123" s="52"/>
      <c r="P123" s="52"/>
      <c r="Q123" s="2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2" x14ac:dyDescent="0.25">
      <c r="A124" s="57" t="s">
        <v>147</v>
      </c>
      <c r="B124" s="58">
        <v>26</v>
      </c>
      <c r="C124" s="59">
        <f>3798.7/1000</f>
        <v>3.7986999999999997</v>
      </c>
      <c r="D124" s="71">
        <f ca="1">IFERROR(__xludf.DUMMYFUNCTION("$C118*IMPORTRANGE(""https://docs.google.com/spreadsheets/d/1xsp01RMmkav9iTy39Zaj_7tE9677EGlOJ14KU9TZn7I/"",""1985-2003!H2429"")"),3.32120341)</f>
        <v>3.3212034099999999</v>
      </c>
      <c r="E124" s="71">
        <f ca="1">IFERROR(__xludf.DUMMYFUNCTION("$C118*IMPORTRANGE(""https://docs.google.com/spreadsheets/d/1xsp01RMmkav9iTy39Zaj_7tE9677EGlOJ14KU9TZn7I/"",""1985-2003!T2429"")"),2.56640171999999)</f>
        <v>2.5664017199999898</v>
      </c>
      <c r="F124" s="71">
        <f ca="1">IFERROR(__xludf.DUMMYFUNCTION("$C118*IMPORTRANGE(""https://docs.google.com/spreadsheets/d/1xsp01RMmkav9iTy39Zaj_7tE9677EGlOJ14KU9TZn7I/"",""1985-2003!AC2429"")"),410.4305415)</f>
        <v>410.4305415</v>
      </c>
      <c r="G124" s="57" t="s">
        <v>8</v>
      </c>
      <c r="H124" s="5"/>
      <c r="I124" s="5"/>
      <c r="J124" s="5"/>
      <c r="K124" s="2"/>
      <c r="L124" s="3"/>
      <c r="M124" s="52"/>
      <c r="N124" s="52"/>
      <c r="O124" s="52"/>
      <c r="P124" s="52"/>
      <c r="Q124" s="2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2" x14ac:dyDescent="0.25">
      <c r="A125" s="76" t="s">
        <v>148</v>
      </c>
      <c r="B125" s="77">
        <v>95</v>
      </c>
      <c r="C125" s="78">
        <f>8564.6/1000</f>
        <v>8.5646000000000004</v>
      </c>
      <c r="D125" s="79">
        <f ca="1">IFERROR(__xludf.DUMMYFUNCTION("$C119*IMPORTRANGE(""https://docs.google.com/spreadsheets/d/1xsp01RMmkav9iTy39Zaj_7tE9677EGlOJ14KU9TZn7I/"",""1985-2003!H2453"")"),7.50515898)</f>
        <v>7.50515898</v>
      </c>
      <c r="E125" s="79">
        <f ca="1">IFERROR(__xludf.DUMMYFUNCTION("$C119*IMPORTRANGE(""https://docs.google.com/spreadsheets/d/1xsp01RMmkav9iTy39Zaj_7tE9677EGlOJ14KU9TZn7I/"",""1985-2003!H2453"")"),7.50515898)</f>
        <v>7.50515898</v>
      </c>
      <c r="F125" s="79">
        <f ca="1">IFERROR(__xludf.DUMMYFUNCTION("$C119*IMPORTRANGE(""https://docs.google.com/spreadsheets/d/1xsp01RMmkav9iTy39Zaj_7tE9677EGlOJ14KU9TZn7I/"",""1985-2003!H2453"")"),7.50515898)</f>
        <v>7.50515898</v>
      </c>
      <c r="G125" s="76" t="s">
        <v>8</v>
      </c>
      <c r="H125" s="5"/>
      <c r="I125" s="5"/>
      <c r="J125" s="5"/>
      <c r="K125" s="2"/>
      <c r="L125" s="3"/>
      <c r="M125" s="52"/>
      <c r="N125" s="52"/>
      <c r="O125" s="52"/>
      <c r="P125" s="52"/>
      <c r="Q125" s="2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2" x14ac:dyDescent="0.25">
      <c r="A126" s="68">
        <v>1994</v>
      </c>
      <c r="B126" s="69"/>
      <c r="C126" s="70"/>
      <c r="D126" s="70"/>
      <c r="E126" s="70"/>
      <c r="F126" s="70"/>
      <c r="G126" s="68"/>
      <c r="H126" s="5"/>
      <c r="I126" s="5"/>
      <c r="J126" s="5"/>
      <c r="K126" s="2"/>
      <c r="L126" s="3"/>
      <c r="M126" s="52"/>
      <c r="N126" s="52"/>
      <c r="O126" s="52"/>
      <c r="P126" s="52"/>
      <c r="Q126" s="2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2" x14ac:dyDescent="0.25">
      <c r="A127" s="57" t="s">
        <v>149</v>
      </c>
      <c r="B127" s="58">
        <v>43</v>
      </c>
      <c r="C127" s="59">
        <f>9015/1000</f>
        <v>9.0150000000000006</v>
      </c>
      <c r="D127" s="71">
        <f ca="1">IFERROR(__xludf.DUMMYFUNCTION("$C121*IMPORTRANGE(""https://docs.google.com/spreadsheets/d/1xsp01RMmkav9iTy39Zaj_7tE9677EGlOJ14KU9TZn7I/"",""1985-2003!H2476"")"),8.021547)</f>
        <v>8.021547</v>
      </c>
      <c r="E127" s="71">
        <f ca="1">IFERROR(__xludf.DUMMYFUNCTION("$C121*IMPORTRANGE(""https://docs.google.com/spreadsheets/d/1xsp01RMmkav9iTy39Zaj_7tE9677EGlOJ14KU9TZn7I/"",""1985-2003!T2476"")"),6.036444)</f>
        <v>6.0364440000000004</v>
      </c>
      <c r="F127" s="71">
        <f ca="1">IFERROR(__xludf.DUMMYFUNCTION("$C121*IMPORTRANGE(""https://docs.google.com/spreadsheets/d/1xsp01RMmkav9iTy39Zaj_7tE9677EGlOJ14KU9TZn7I/"",""1985-2003!AC2476"")"),1006.074)</f>
        <v>1006.074</v>
      </c>
      <c r="G127" s="57" t="s">
        <v>8</v>
      </c>
      <c r="H127" s="5"/>
      <c r="I127" s="5"/>
      <c r="J127" s="5"/>
      <c r="K127" s="2"/>
      <c r="L127" s="3"/>
      <c r="M127" s="52"/>
      <c r="N127" s="52"/>
      <c r="O127" s="52"/>
      <c r="P127" s="52"/>
      <c r="Q127" s="2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2" x14ac:dyDescent="0.25">
      <c r="A128" s="72" t="s">
        <v>150</v>
      </c>
      <c r="B128" s="73">
        <v>24</v>
      </c>
      <c r="C128" s="74">
        <f>1023/1000</f>
        <v>1.0229999999999999</v>
      </c>
      <c r="D128" s="75">
        <f ca="1">IFERROR(__xludf.DUMMYFUNCTION("$C122*IMPORTRANGE(""https://docs.google.com/spreadsheets/d/1xsp01RMmkav9iTy39Zaj_7tE9677EGlOJ14KU9TZn7I/"",""1985-2003!H2497"")"),0.902644049999999)</f>
        <v>0.90264404999999903</v>
      </c>
      <c r="E128" s="75">
        <f ca="1">IFERROR(__xludf.DUMMYFUNCTION("$C122*IMPORTRANGE(""https://docs.google.com/spreadsheets/d/1xsp01RMmkav9iTy39Zaj_7tE9677EGlOJ14KU9TZn7I/"",""1985-2003!T2497"")"),0.692110649999999)</f>
        <v>0.69211064999999905</v>
      </c>
      <c r="F128" s="75">
        <f ca="1">IFERROR(__xludf.DUMMYFUNCTION("$C122*IMPORTRANGE(""https://docs.google.com/spreadsheets/d/1xsp01RMmkav9iTy39Zaj_7tE9677EGlOJ14KU9TZn7I/"",""1985-2003!AC2497"")"),108.514725)</f>
        <v>108.514725</v>
      </c>
      <c r="G128" s="72" t="s">
        <v>8</v>
      </c>
      <c r="H128" s="5"/>
      <c r="I128" s="5"/>
      <c r="J128" s="5"/>
      <c r="K128" s="2"/>
      <c r="L128" s="3"/>
      <c r="M128" s="52"/>
      <c r="N128" s="52"/>
      <c r="O128" s="52"/>
      <c r="P128" s="52"/>
      <c r="Q128" s="2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2" x14ac:dyDescent="0.25">
      <c r="A129" s="57" t="s">
        <v>151</v>
      </c>
      <c r="B129" s="58">
        <v>24</v>
      </c>
      <c r="C129" s="59">
        <f>2183.1/1000</f>
        <v>2.1831</v>
      </c>
      <c r="D129" s="71">
        <f ca="1">IFERROR(__xludf.DUMMYFUNCTION("$C123*IMPORTRANGE(""https://docs.google.com/spreadsheets/d/1xsp01RMmkav9iTy39Zaj_7tE9677EGlOJ14KU9TZn7I/"",""1985-2003!H2521"")"),1.88881812)</f>
        <v>1.88881812</v>
      </c>
      <c r="E129" s="71">
        <f ca="1">IFERROR(__xludf.DUMMYFUNCTION("$C123*IMPORTRANGE(""https://docs.google.com/spreadsheets/d/1xsp01RMmkav9iTy39Zaj_7tE9677EGlOJ14KU9TZn7I/"",""1985-2003!T2521"")"),1.46311362)</f>
        <v>1.4631136199999999</v>
      </c>
      <c r="F129" s="71">
        <f ca="1">IFERROR(__xludf.DUMMYFUNCTION("$C123*IMPORTRANGE(""https://docs.google.com/spreadsheets/d/1xsp01RMmkav9iTy39Zaj_7tE9677EGlOJ14KU9TZn7I/"",""1985-2003!AC2521"")"),229.836768)</f>
        <v>229.83676800000001</v>
      </c>
      <c r="G129" s="57" t="s">
        <v>8</v>
      </c>
      <c r="H129" s="5"/>
      <c r="I129" s="5"/>
      <c r="J129" s="5"/>
      <c r="K129" s="2"/>
      <c r="L129" s="3"/>
      <c r="M129" s="52"/>
      <c r="N129" s="52"/>
      <c r="O129" s="52"/>
      <c r="P129" s="52"/>
      <c r="Q129" s="2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2" x14ac:dyDescent="0.25">
      <c r="A130" s="72" t="s">
        <v>152</v>
      </c>
      <c r="B130" s="73">
        <v>40</v>
      </c>
      <c r="C130" s="74">
        <f>1619.3/1000</f>
        <v>1.6193</v>
      </c>
      <c r="D130" s="75">
        <f ca="1">IFERROR(__xludf.DUMMYFUNCTION("$C124*IMPORTRANGE(""https://docs.google.com/spreadsheets/d/1xsp01RMmkav9iTy39Zaj_7tE9677EGlOJ14KU9TZn7I/"",""1985-2003!H2543"")"),1.4071717)</f>
        <v>1.4071716999999999</v>
      </c>
      <c r="E130" s="75">
        <f ca="1">IFERROR(__xludf.DUMMYFUNCTION("$C124*IMPORTRANGE(""https://docs.google.com/spreadsheets/d/1xsp01RMmkav9iTy39Zaj_7tE9677EGlOJ14KU9TZn7I/"",""1985-2003!T2543"")"),1.0962661)</f>
        <v>1.0962661</v>
      </c>
      <c r="F130" s="75">
        <f ca="1">IFERROR(__xludf.DUMMYFUNCTION("$C124*IMPORTRANGE(""https://docs.google.com/spreadsheets/d/1xsp01RMmkav9iTy39Zaj_7tE9677EGlOJ14KU9TZn7I/"",""1985-2003!AC2543"")"),167.387041)</f>
        <v>167.38704100000001</v>
      </c>
      <c r="G130" s="72" t="s">
        <v>8</v>
      </c>
      <c r="H130" s="5"/>
      <c r="I130" s="5"/>
      <c r="J130" s="5"/>
      <c r="K130" s="2"/>
      <c r="L130" s="3"/>
      <c r="M130" s="52"/>
      <c r="N130" s="52"/>
      <c r="O130" s="52"/>
      <c r="P130" s="52"/>
      <c r="Q130" s="2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2" x14ac:dyDescent="0.25">
      <c r="A131" s="57" t="s">
        <v>153</v>
      </c>
      <c r="B131" s="58">
        <v>43</v>
      </c>
      <c r="C131" s="59">
        <f>1607.1/1000</f>
        <v>1.6071</v>
      </c>
      <c r="D131" s="71">
        <f ca="1">IFERROR(__xludf.DUMMYFUNCTION("$C125*IMPORTRANGE(""https://docs.google.com/spreadsheets/d/1xsp01RMmkav9iTy39Zaj_7tE9677EGlOJ14KU9TZn7I/"",""1985-2003!H2566"")"),1.359686955)</f>
        <v>1.3596869549999999</v>
      </c>
      <c r="E131" s="71">
        <f ca="1">IFERROR(__xludf.DUMMYFUNCTION("$C125*IMPORTRANGE(""https://docs.google.com/spreadsheets/d/1xsp01RMmkav9iTy39Zaj_7tE9677EGlOJ14KU9TZn7I/"",""1985-2003!T2566"")"),1.06775724)</f>
        <v>1.0677572399999999</v>
      </c>
      <c r="F131" s="71">
        <f ca="1">IFERROR(__xludf.DUMMYFUNCTION("$C125*IMPORTRANGE(""https://docs.google.com/spreadsheets/d/1xsp01RMmkav9iTy39Zaj_7tE9677EGlOJ14KU9TZn7I/"",""1985-2003!AC2566"")"),167.588388)</f>
        <v>167.58838800000001</v>
      </c>
      <c r="G131" s="57" t="s">
        <v>8</v>
      </c>
      <c r="H131" s="5"/>
      <c r="I131" s="5"/>
      <c r="J131" s="5"/>
      <c r="K131" s="2"/>
      <c r="L131" s="3"/>
      <c r="M131" s="52"/>
      <c r="N131" s="52"/>
      <c r="O131" s="52"/>
      <c r="P131" s="52"/>
      <c r="Q131" s="2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2" x14ac:dyDescent="0.25">
      <c r="A132" s="72" t="s">
        <v>154</v>
      </c>
      <c r="B132" s="73">
        <v>90</v>
      </c>
      <c r="C132" s="74">
        <f>43426.8/1000</f>
        <v>43.4268</v>
      </c>
      <c r="D132" s="75">
        <f ca="1">IFERROR(__xludf.DUMMYFUNCTION("$C126*IMPORTRANGE(""https://docs.google.com/spreadsheets/d/1xsp01RMmkav9iTy39Zaj_7tE9677EGlOJ14KU9TZn7I/"",""1985-2003!H2589"")"),36.29177676)</f>
        <v>36.291776759999998</v>
      </c>
      <c r="E132" s="75">
        <f ca="1">IFERROR(__xludf.DUMMYFUNCTION("$C126*IMPORTRANGE(""https://docs.google.com/spreadsheets/d/1xsp01RMmkav9iTy39Zaj_7tE9677EGlOJ14KU9TZn7I/"",""1985-2003!T2589"")"),28.57266306)</f>
        <v>28.57266306</v>
      </c>
      <c r="F132" s="75">
        <f ca="1">IFERROR(__xludf.DUMMYFUNCTION("$C126*IMPORTRANGE(""https://docs.google.com/spreadsheets/d/1xsp01RMmkav9iTy39Zaj_7tE9677EGlOJ14KU9TZn7I/"",""1985-2003!AC2589"")"),4463.18937)</f>
        <v>4463.1893700000001</v>
      </c>
      <c r="G132" s="72" t="s">
        <v>8</v>
      </c>
      <c r="H132" s="5"/>
      <c r="I132" s="5"/>
      <c r="J132" s="5"/>
      <c r="K132" s="2"/>
      <c r="L132" s="3"/>
      <c r="M132" s="52"/>
      <c r="N132" s="52"/>
      <c r="O132" s="52"/>
      <c r="P132" s="52"/>
      <c r="Q132" s="2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2" x14ac:dyDescent="0.25">
      <c r="A133" s="57" t="s">
        <v>155</v>
      </c>
      <c r="B133" s="58">
        <v>45</v>
      </c>
      <c r="C133" s="59">
        <f>4336.1/1000</f>
        <v>4.3361000000000001</v>
      </c>
      <c r="D133" s="71">
        <f ca="1">IFERROR(__xludf.DUMMYFUNCTION("$C127*IMPORTRANGE(""https://docs.google.com/spreadsheets/d/1xsp01RMmkav9iTy39Zaj_7tE9677EGlOJ14KU9TZn7I/"",""1985-2003!H2611"")"),3.50747129)</f>
        <v>3.5074712899999998</v>
      </c>
      <c r="E133" s="71">
        <f ca="1">IFERROR(__xludf.DUMMYFUNCTION("$C127*IMPORTRANGE(""https://docs.google.com/spreadsheets/d/1xsp01RMmkav9iTy39Zaj_7tE9677EGlOJ14KU9TZn7I/"",""1985-2003!T2611"")"),2.81542973)</f>
        <v>2.81542973</v>
      </c>
      <c r="F133" s="71">
        <f ca="1">IFERROR(__xludf.DUMMYFUNCTION("$C127*IMPORTRANGE(""https://docs.google.com/spreadsheets/d/1xsp01RMmkav9iTy39Zaj_7tE9677EGlOJ14KU9TZn7I/"",""1985-2003!AC2611"")"),427.886348)</f>
        <v>427.886348</v>
      </c>
      <c r="G133" s="57" t="s">
        <v>8</v>
      </c>
      <c r="H133" s="5"/>
      <c r="I133" s="5"/>
      <c r="J133" s="5"/>
      <c r="K133" s="2"/>
      <c r="L133" s="3"/>
      <c r="M133" s="52"/>
      <c r="N133" s="52"/>
      <c r="O133" s="52"/>
      <c r="P133" s="52"/>
      <c r="Q133" s="2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2" x14ac:dyDescent="0.25">
      <c r="A134" s="72" t="s">
        <v>156</v>
      </c>
      <c r="B134" s="73">
        <v>40</v>
      </c>
      <c r="C134" s="74">
        <f>4528.8/1000</f>
        <v>4.5288000000000004</v>
      </c>
      <c r="D134" s="75">
        <f ca="1">IFERROR(__xludf.DUMMYFUNCTION("$C128*IMPORTRANGE(""https://docs.google.com/spreadsheets/d/1xsp01RMmkav9iTy39Zaj_7tE9677EGlOJ14KU9TZn7I/"",""1985-2003!H2635"")"),3.65315652)</f>
        <v>3.65315652</v>
      </c>
      <c r="E134" s="75">
        <f ca="1">IFERROR(__xludf.DUMMYFUNCTION("$C128*IMPORTRANGE(""https://docs.google.com/spreadsheets/d/1xsp01RMmkav9iTy39Zaj_7tE9677EGlOJ14KU9TZn7I/"",""1985-2003!T2635"")"),2.9391912)</f>
        <v>2.9391911999999998</v>
      </c>
      <c r="F134" s="75">
        <f ca="1">IFERROR(__xludf.DUMMYFUNCTION("$C128*IMPORTRANGE(""https://docs.google.com/spreadsheets/d/1xsp01RMmkav9iTy39Zaj_7tE9677EGlOJ14KU9TZn7I/"",""1985-2003!AC2635"")"),453.468744)</f>
        <v>453.46874400000002</v>
      </c>
      <c r="G134" s="72" t="s">
        <v>8</v>
      </c>
      <c r="H134" s="5"/>
      <c r="I134" s="5"/>
      <c r="J134" s="5"/>
      <c r="K134" s="2"/>
      <c r="L134" s="3"/>
      <c r="M134" s="52"/>
      <c r="N134" s="52"/>
      <c r="O134" s="52"/>
      <c r="P134" s="52"/>
      <c r="Q134" s="2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2" x14ac:dyDescent="0.25">
      <c r="A135" s="57" t="s">
        <v>157</v>
      </c>
      <c r="B135" s="58">
        <v>34</v>
      </c>
      <c r="C135" s="59">
        <f>6479.3/1000</f>
        <v>6.4793000000000003</v>
      </c>
      <c r="D135" s="71">
        <f ca="1">IFERROR(__xludf.DUMMYFUNCTION("$C129*IMPORTRANGE(""https://docs.google.com/spreadsheets/d/1xsp01RMmkav9iTy39Zaj_7tE9677EGlOJ14KU9TZn7I/"",""1985-2003!H2658"")"),5.157846765)</f>
        <v>5.1578467650000004</v>
      </c>
      <c r="E135" s="71">
        <f ca="1">IFERROR(__xludf.DUMMYFUNCTION("$C129*IMPORTRANGE(""https://docs.google.com/spreadsheets/d/1xsp01RMmkav9iTy39Zaj_7tE9677EGlOJ14KU9TZn7I/"",""1985-2003!T2658"")"),4.130877715)</f>
        <v>4.1308777149999996</v>
      </c>
      <c r="F135" s="71">
        <f ca="1">IFERROR(__xludf.DUMMYFUNCTION("$C129*IMPORTRANGE(""https://docs.google.com/spreadsheets/d/1xsp01RMmkav9iTy39Zaj_7tE9677EGlOJ14KU9TZn7I/"",""1985-2003!AC2658"")"),641.2239245)</f>
        <v>641.22392449999995</v>
      </c>
      <c r="G135" s="57" t="s">
        <v>8</v>
      </c>
      <c r="H135" s="5"/>
      <c r="I135" s="5"/>
      <c r="J135" s="5"/>
      <c r="K135" s="2"/>
      <c r="L135" s="3"/>
      <c r="M135" s="52"/>
      <c r="N135" s="52"/>
      <c r="O135" s="52"/>
      <c r="P135" s="52"/>
      <c r="Q135" s="2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2" x14ac:dyDescent="0.25">
      <c r="A136" s="72" t="s">
        <v>158</v>
      </c>
      <c r="B136" s="73">
        <v>40</v>
      </c>
      <c r="C136" s="74">
        <f>5202.3/1000</f>
        <v>5.2023000000000001</v>
      </c>
      <c r="D136" s="75">
        <f ca="1">IFERROR(__xludf.DUMMYFUNCTION("$C130*IMPORTRANGE(""https://docs.google.com/spreadsheets/d/1xsp01RMmkav9iTy39Zaj_7tE9677EGlOJ14KU9TZn7I/"",""1985-2003!H2680"")"),4.04166687)</f>
        <v>4.0416668700000002</v>
      </c>
      <c r="E136" s="75">
        <f ca="1">IFERROR(__xludf.DUMMYFUNCTION("$C130*IMPORTRANGE(""https://docs.google.com/spreadsheets/d/1xsp01RMmkav9iTy39Zaj_7tE9677EGlOJ14KU9TZn7I/"",""1985-2003!T2680"")"),3.2358306)</f>
        <v>3.2358305999999999</v>
      </c>
      <c r="F136" s="75">
        <f ca="1">IFERROR(__xludf.DUMMYFUNCTION("$C130*IMPORTRANGE(""https://docs.google.com/spreadsheets/d/1xsp01RMmkav9iTy39Zaj_7tE9677EGlOJ14KU9TZn7I/"",""1985-2003!AC2680"")"),508.420779)</f>
        <v>508.42077899999998</v>
      </c>
      <c r="G136" s="72" t="s">
        <v>8</v>
      </c>
      <c r="H136" s="5"/>
      <c r="I136" s="5"/>
      <c r="J136" s="5"/>
      <c r="K136" s="2"/>
      <c r="L136" s="3"/>
      <c r="M136" s="52"/>
      <c r="N136" s="52"/>
      <c r="O136" s="52"/>
      <c r="P136" s="52"/>
      <c r="Q136" s="2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2" x14ac:dyDescent="0.25">
      <c r="A137" s="57" t="s">
        <v>159</v>
      </c>
      <c r="B137" s="58">
        <v>43</v>
      </c>
      <c r="C137" s="59">
        <f>6070.8/1000</f>
        <v>6.0708000000000002</v>
      </c>
      <c r="D137" s="71">
        <f ca="1">IFERROR(__xludf.DUMMYFUNCTION("$C131*IMPORTRANGE(""https://docs.google.com/spreadsheets/d/1xsp01RMmkav9iTy39Zaj_7tE9677EGlOJ14KU9TZn7I/"",""1985-2003!H2703"")"),4.841463)</f>
        <v>4.8414630000000001</v>
      </c>
      <c r="E137" s="71">
        <f ca="1">IFERROR(__xludf.DUMMYFUNCTION("$C131*IMPORTRANGE(""https://docs.google.com/spreadsheets/d/1xsp01RMmkav9iTy39Zaj_7tE9677EGlOJ14KU9TZn7I/"",""1985-2003!T2703"")"),3.84585179999999)</f>
        <v>3.8458517999999899</v>
      </c>
      <c r="F137" s="71">
        <f ca="1">IFERROR(__xludf.DUMMYFUNCTION("$C131*IMPORTRANGE(""https://docs.google.com/spreadsheets/d/1xsp01RMmkav9iTy39Zaj_7tE9677EGlOJ14KU9TZn7I/"",""1985-2003!AC2703"")"),596.941764)</f>
        <v>596.94176400000003</v>
      </c>
      <c r="G137" s="57" t="s">
        <v>8</v>
      </c>
      <c r="H137" s="5"/>
      <c r="I137" s="5"/>
      <c r="J137" s="5"/>
      <c r="K137" s="2"/>
      <c r="L137" s="3"/>
      <c r="M137" s="52"/>
      <c r="N137" s="52"/>
      <c r="O137" s="52"/>
      <c r="P137" s="52"/>
      <c r="Q137" s="2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2" x14ac:dyDescent="0.25">
      <c r="A138" s="76" t="s">
        <v>160</v>
      </c>
      <c r="B138" s="77">
        <v>134</v>
      </c>
      <c r="C138" s="78">
        <f>6794.1/1000</f>
        <v>6.7941000000000003</v>
      </c>
      <c r="D138" s="79">
        <f ca="1">IFERROR(__xludf.DUMMYFUNCTION("$C132*IMPORTRANGE(""https://docs.google.com/spreadsheets/d/1xsp01RMmkav9iTy39Zaj_7tE9677EGlOJ14KU9TZn7I/"",""1985-2003!H2726"")"),5.52564153)</f>
        <v>5.5256415299999997</v>
      </c>
      <c r="E138" s="79">
        <f ca="1">IFERROR(__xludf.DUMMYFUNCTION("$C132*IMPORTRANGE(""https://docs.google.com/spreadsheets/d/1xsp01RMmkav9iTy39Zaj_7tE9677EGlOJ14KU9TZn7I/"",""1985-2003!T2726"")"),4.35162104999999)</f>
        <v>4.3516210499999897</v>
      </c>
      <c r="F138" s="79">
        <f ca="1">IFERROR(__xludf.DUMMYFUNCTION("$C132*IMPORTRANGE(""https://docs.google.com/spreadsheets/d/1xsp01RMmkav9iTy39Zaj_7tE9677EGlOJ14KU9TZn7I/"",""1985-2003!AC2726"")"),680.564997)</f>
        <v>680.56499699999995</v>
      </c>
      <c r="G138" s="76" t="s">
        <v>8</v>
      </c>
      <c r="H138" s="5"/>
      <c r="I138" s="5"/>
      <c r="J138" s="5"/>
      <c r="K138" s="2"/>
      <c r="L138" s="3"/>
      <c r="M138" s="52"/>
      <c r="N138" s="52"/>
      <c r="O138" s="52"/>
      <c r="P138" s="52"/>
      <c r="Q138" s="2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2" x14ac:dyDescent="0.25">
      <c r="A139" s="68">
        <v>1995</v>
      </c>
      <c r="B139" s="69"/>
      <c r="C139" s="70"/>
      <c r="D139" s="70"/>
      <c r="E139" s="70"/>
      <c r="F139" s="70"/>
      <c r="G139" s="68"/>
      <c r="H139" s="5"/>
      <c r="I139" s="5"/>
      <c r="J139" s="5"/>
      <c r="K139" s="2"/>
      <c r="L139" s="3"/>
      <c r="M139" s="52"/>
      <c r="N139" s="52"/>
      <c r="O139" s="52"/>
      <c r="P139" s="52"/>
      <c r="Q139" s="2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2" x14ac:dyDescent="0.25">
      <c r="A140" s="57" t="s">
        <v>161</v>
      </c>
      <c r="B140" s="58">
        <v>61</v>
      </c>
      <c r="C140" s="59">
        <f>3078.3/1000</f>
        <v>3.0783</v>
      </c>
      <c r="D140" s="71">
        <f ca="1">IFERROR(__xludf.DUMMYFUNCTION("$C134*IMPORTRANGE(""https://docs.google.com/spreadsheets/d/1xsp01RMmkav9iTy39Zaj_7tE9677EGlOJ14KU9TZn7I/"",""1985-2003!H2750"")"),2.4503268)</f>
        <v>2.4503268</v>
      </c>
      <c r="E140" s="71">
        <f ca="1">IFERROR(__xludf.DUMMYFUNCTION("$C134*IMPORTRANGE(""https://docs.google.com/spreadsheets/d/1xsp01RMmkav9iTy39Zaj_7tE9677EGlOJ14KU9TZn7I/"",""1985-2003!T2750"")"),1.9608771)</f>
        <v>1.9608771</v>
      </c>
      <c r="F140" s="71">
        <f ca="1">IFERROR(__xludf.DUMMYFUNCTION("$C134*IMPORTRANGE(""https://docs.google.com/spreadsheets/d/1xsp01RMmkav9iTy39Zaj_7tE9677EGlOJ14KU9TZn7I/"",""1985-2003!AC2750"")"),306.783377999999)</f>
        <v>306.783377999999</v>
      </c>
      <c r="G140" s="57" t="s">
        <v>8</v>
      </c>
      <c r="H140" s="5"/>
      <c r="I140" s="5"/>
      <c r="J140" s="5"/>
      <c r="K140" s="2"/>
      <c r="L140" s="3"/>
      <c r="M140" s="52"/>
      <c r="N140" s="52"/>
      <c r="O140" s="52"/>
      <c r="P140" s="52"/>
      <c r="Q140" s="2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2" x14ac:dyDescent="0.25">
      <c r="A141" s="72" t="s">
        <v>162</v>
      </c>
      <c r="B141" s="73">
        <v>27</v>
      </c>
      <c r="C141" s="74">
        <f>4169.8/1000</f>
        <v>4.1698000000000004</v>
      </c>
      <c r="D141" s="75">
        <f ca="1">IFERROR(__xludf.DUMMYFUNCTION("$C135*IMPORTRANGE(""https://docs.google.com/spreadsheets/d/1xsp01RMmkav9iTy39Zaj_7tE9677EGlOJ14KU9TZn7I/"",""1985-2003!H2771"")"),3.28100713)</f>
        <v>3.2810071299999999</v>
      </c>
      <c r="E141" s="75">
        <f ca="1">IFERROR(__xludf.DUMMYFUNCTION("$C135*IMPORTRANGE(""https://docs.google.com/spreadsheets/d/1xsp01RMmkav9iTy39Zaj_7tE9677EGlOJ14KU9TZn7I/"",""1985-2003!T2771"")"),2.64469565)</f>
        <v>2.6446956500000001</v>
      </c>
      <c r="F141" s="75">
        <f ca="1">IFERROR(__xludf.DUMMYFUNCTION("$C135*IMPORTRANGE(""https://docs.google.com/spreadsheets/d/1xsp01RMmkav9iTy39Zaj_7tE9677EGlOJ14KU9TZn7I/"",""1985-2003!AC2771"")"),410.433414)</f>
        <v>410.43341400000003</v>
      </c>
      <c r="G141" s="72" t="s">
        <v>8</v>
      </c>
      <c r="H141" s="5"/>
      <c r="I141" s="5"/>
      <c r="J141" s="5"/>
      <c r="K141" s="2"/>
      <c r="L141" s="3"/>
      <c r="M141" s="52"/>
      <c r="N141" s="52"/>
      <c r="O141" s="52"/>
      <c r="P141" s="52"/>
      <c r="Q141" s="2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2" x14ac:dyDescent="0.25">
      <c r="A142" s="57" t="s">
        <v>163</v>
      </c>
      <c r="B142" s="58">
        <v>42</v>
      </c>
      <c r="C142" s="59">
        <f>5438.7/1000</f>
        <v>5.4386999999999999</v>
      </c>
      <c r="D142" s="71">
        <f ca="1">IFERROR(__xludf.DUMMYFUNCTION("$C136*IMPORTRANGE(""https://docs.google.com/spreadsheets/d/1xsp01RMmkav9iTy39Zaj_7tE9677EGlOJ14KU9TZn7I/"",""1985-2003!H2795"")"),4.09642884)</f>
        <v>4.0964288399999997</v>
      </c>
      <c r="E142" s="71">
        <f ca="1">IFERROR(__xludf.DUMMYFUNCTION("$C136*IMPORTRANGE(""https://docs.google.com/spreadsheets/d/1xsp01RMmkav9iTy39Zaj_7tE9677EGlOJ14KU9TZn7I/"",""1985-2003!T2795"")"),3.4100649)</f>
        <v>3.4100649000000001</v>
      </c>
      <c r="F142" s="71">
        <f ca="1">IFERROR(__xludf.DUMMYFUNCTION("$C136*IMPORTRANGE(""https://docs.google.com/spreadsheets/d/1xsp01RMmkav9iTy39Zaj_7tE9677EGlOJ14KU9TZn7I/"",""1985-2003!AC2795"")"),487.416294)</f>
        <v>487.41629399999999</v>
      </c>
      <c r="G142" s="57" t="s">
        <v>8</v>
      </c>
      <c r="H142" s="5"/>
      <c r="I142" s="5"/>
      <c r="J142" s="5"/>
      <c r="K142" s="2"/>
      <c r="L142" s="3"/>
      <c r="M142" s="52"/>
      <c r="N142" s="52"/>
      <c r="O142" s="52"/>
      <c r="P142" s="52"/>
      <c r="Q142" s="2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2" x14ac:dyDescent="0.25">
      <c r="A143" s="72" t="s">
        <v>164</v>
      </c>
      <c r="B143" s="73">
        <v>55</v>
      </c>
      <c r="C143" s="74">
        <f>4361.2/1000</f>
        <v>4.3612000000000002</v>
      </c>
      <c r="D143" s="75">
        <f ca="1">IFERROR(__xludf.DUMMYFUNCTION("$C137*IMPORTRANGE(""https://docs.google.com/spreadsheets/d/1xsp01RMmkav9iTy39Zaj_7tE9677EGlOJ14KU9TZn7I/"",""1985-2003!H2816"")"),3.22205456)</f>
        <v>3.2220545600000001</v>
      </c>
      <c r="E143" s="75">
        <f ca="1">IFERROR(__xludf.DUMMYFUNCTION("$C137*IMPORTRANGE(""https://docs.google.com/spreadsheets/d/1xsp01RMmkav9iTy39Zaj_7tE9677EGlOJ14KU9TZn7I/"",""1985-2003!T2816"")"),2.71135804)</f>
        <v>2.7113580399999999</v>
      </c>
      <c r="F143" s="75">
        <f ca="1">IFERROR(__xludf.DUMMYFUNCTION("$C137*IMPORTRANGE(""https://docs.google.com/spreadsheets/d/1xsp01RMmkav9iTy39Zaj_7tE9677EGlOJ14KU9TZn7I/"",""1985-2003!AC2816"")"),364.792574)</f>
        <v>364.792574</v>
      </c>
      <c r="G143" s="72" t="s">
        <v>8</v>
      </c>
      <c r="H143" s="5"/>
      <c r="I143" s="5"/>
      <c r="J143" s="5"/>
      <c r="K143" s="2"/>
      <c r="L143" s="3"/>
      <c r="M143" s="52"/>
      <c r="N143" s="52"/>
      <c r="O143" s="52"/>
      <c r="P143" s="52"/>
      <c r="Q143" s="2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2" x14ac:dyDescent="0.25">
      <c r="A144" s="57" t="s">
        <v>165</v>
      </c>
      <c r="B144" s="58">
        <v>52</v>
      </c>
      <c r="C144" s="59">
        <f>6409.9/1000</f>
        <v>6.4098999999999995</v>
      </c>
      <c r="D144" s="71">
        <f ca="1">IFERROR(__xludf.DUMMYFUNCTION("$C138*IMPORTRANGE(""https://docs.google.com/spreadsheets/d/1xsp01RMmkav9iTy39Zaj_7tE9677EGlOJ14KU9TZn7I/"",""1985-2003!H2840"")"),4.79268223)</f>
        <v>4.7926822299999996</v>
      </c>
      <c r="E144" s="71">
        <f ca="1">IFERROR(__xludf.DUMMYFUNCTION("$C138*IMPORTRANGE(""https://docs.google.com/spreadsheets/d/1xsp01RMmkav9iTy39Zaj_7tE9677EGlOJ14KU9TZn7I/"",""1985-2003!T2840"")"),4.05682571)</f>
        <v>4.05682571</v>
      </c>
      <c r="F144" s="71">
        <f ca="1">IFERROR(__xludf.DUMMYFUNCTION("$C138*IMPORTRANGE(""https://docs.google.com/spreadsheets/d/1xsp01RMmkav9iTy39Zaj_7tE9677EGlOJ14KU9TZn7I/"",""1985-2003!AC2840"")"),542.021143999999)</f>
        <v>542.02114399999903</v>
      </c>
      <c r="G144" s="57" t="s">
        <v>8</v>
      </c>
      <c r="H144" s="5"/>
      <c r="I144" s="5"/>
      <c r="J144" s="5"/>
      <c r="K144" s="2"/>
      <c r="L144" s="3"/>
      <c r="M144" s="52"/>
      <c r="N144" s="52"/>
      <c r="O144" s="52"/>
      <c r="P144" s="52"/>
      <c r="Q144" s="2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2" x14ac:dyDescent="0.25">
      <c r="A145" s="72" t="s">
        <v>166</v>
      </c>
      <c r="B145" s="73">
        <v>146</v>
      </c>
      <c r="C145" s="74">
        <f>18072/1000</f>
        <v>18.071999999999999</v>
      </c>
      <c r="D145" s="75">
        <f ca="1">IFERROR(__xludf.DUMMYFUNCTION("$C139*IMPORTRANGE(""https://docs.google.com/spreadsheets/d/1xsp01RMmkav9iTy39Zaj_7tE9677EGlOJ14KU9TZn7I/"",""1985-2003!H2863"")"),13.3994843999999)</f>
        <v>13.399484399999899</v>
      </c>
      <c r="E145" s="75">
        <f ca="1">IFERROR(__xludf.DUMMYFUNCTION("$C139*IMPORTRANGE(""https://docs.google.com/spreadsheets/d/1xsp01RMmkav9iTy39Zaj_7tE9677EGlOJ14KU9TZn7I/"",""1985-2003!T2863"")"),11.3338548)</f>
        <v>11.333854799999999</v>
      </c>
      <c r="F145" s="75">
        <f ca="1">IFERROR(__xludf.DUMMYFUNCTION("$C139*IMPORTRANGE(""https://docs.google.com/spreadsheets/d/1xsp01RMmkav9iTy39Zaj_7tE9677EGlOJ14KU9TZn7I/"",""1985-2003!AC2863"")"),1527.89724)</f>
        <v>1527.89724</v>
      </c>
      <c r="G145" s="72" t="s">
        <v>8</v>
      </c>
      <c r="H145" s="5"/>
      <c r="I145" s="5"/>
      <c r="J145" s="5"/>
      <c r="K145" s="2"/>
      <c r="L145" s="3"/>
      <c r="M145" s="52"/>
      <c r="N145" s="52"/>
      <c r="O145" s="52"/>
      <c r="P145" s="52"/>
      <c r="Q145" s="2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2" x14ac:dyDescent="0.25">
      <c r="A146" s="57" t="s">
        <v>167</v>
      </c>
      <c r="B146" s="58">
        <v>64</v>
      </c>
      <c r="C146" s="59">
        <f>34106.3/1000</f>
        <v>34.106300000000005</v>
      </c>
      <c r="D146" s="71">
        <f ca="1">IFERROR(__xludf.DUMMYFUNCTION("$C140*IMPORTRANGE(""https://docs.google.com/spreadsheets/d/1xsp01RMmkav9iTy39Zaj_7tE9677EGlOJ14KU9TZn7I/"",""1985-2003!H2885"")"),24.99650727)</f>
        <v>24.996507269999999</v>
      </c>
      <c r="E146" s="71">
        <f ca="1">IFERROR(__xludf.DUMMYFUNCTION("$C140*IMPORTRANGE(""https://docs.google.com/spreadsheets/d/1xsp01RMmkav9iTy39Zaj_7tE9677EGlOJ14KU9TZn7I/"",""1985-2003!T2885"")"),21.37441821)</f>
        <v>21.374418210000002</v>
      </c>
      <c r="F146" s="71">
        <f ca="1">IFERROR(__xludf.DUMMYFUNCTION("$C140*IMPORTRANGE(""https://docs.google.com/spreadsheets/d/1xsp01RMmkav9iTy39Zaj_7tE9677EGlOJ14KU9TZn7I/"",""1985-2003!AC2885"")"),2990.099321)</f>
        <v>2990.0993210000001</v>
      </c>
      <c r="G146" s="57" t="s">
        <v>8</v>
      </c>
      <c r="H146" s="5"/>
      <c r="I146" s="5"/>
      <c r="J146" s="5"/>
      <c r="K146" s="2"/>
      <c r="L146" s="3"/>
      <c r="M146" s="52"/>
      <c r="N146" s="52"/>
      <c r="O146" s="52"/>
      <c r="P146" s="52"/>
      <c r="Q146" s="2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2" x14ac:dyDescent="0.25">
      <c r="A147" s="72" t="s">
        <v>168</v>
      </c>
      <c r="B147" s="73">
        <v>60</v>
      </c>
      <c r="C147" s="74">
        <f>15875.9/1000</f>
        <v>15.8759</v>
      </c>
      <c r="D147" s="75">
        <f ca="1">IFERROR(__xludf.DUMMYFUNCTION("$C141*IMPORTRANGE(""https://docs.google.com/spreadsheets/d/1xsp01RMmkav9iTy39Zaj_7tE9677EGlOJ14KU9TZn7I/"",""1985-2003!H2909"")"),12.17840289)</f>
        <v>12.178402889999999</v>
      </c>
      <c r="E147" s="75">
        <f ca="1">IFERROR(__xludf.DUMMYFUNCTION("$C141*IMPORTRANGE(""https://docs.google.com/spreadsheets/d/1xsp01RMmkav9iTy39Zaj_7tE9677EGlOJ14KU9TZn7I/"",""1985-2003!T2909"")"),10.226460985)</f>
        <v>10.226460984999999</v>
      </c>
      <c r="F147" s="75">
        <f ca="1">IFERROR(__xludf.DUMMYFUNCTION("$C141*IMPORTRANGE(""https://docs.google.com/spreadsheets/d/1xsp01RMmkav9iTy39Zaj_7tE9677EGlOJ14KU9TZn7I/"",""1985-2003!AC2909"")"),1534.882012)</f>
        <v>1534.882012</v>
      </c>
      <c r="G147" s="72" t="s">
        <v>8</v>
      </c>
      <c r="H147" s="5"/>
      <c r="I147" s="5"/>
      <c r="J147" s="5"/>
      <c r="K147" s="2"/>
      <c r="L147" s="3"/>
      <c r="M147" s="52"/>
      <c r="N147" s="52"/>
      <c r="O147" s="52"/>
      <c r="P147" s="52"/>
      <c r="Q147" s="2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2" x14ac:dyDescent="0.25">
      <c r="A148" s="57" t="s">
        <v>169</v>
      </c>
      <c r="B148" s="58">
        <v>49</v>
      </c>
      <c r="C148" s="59">
        <f>8995.8/1000</f>
        <v>8.9957999999999991</v>
      </c>
      <c r="D148" s="71">
        <f ca="1">IFERROR(__xludf.DUMMYFUNCTION("$C142*IMPORTRANGE(""https://docs.google.com/spreadsheets/d/1xsp01RMmkav9iTy39Zaj_7tE9677EGlOJ14KU9TZn7I/"",""1985-2003!H2931"")"),6.89887902)</f>
        <v>6.8988790199999999</v>
      </c>
      <c r="E148" s="71">
        <f ca="1">IFERROR(__xludf.DUMMYFUNCTION("$C142*IMPORTRANGE(""https://docs.google.com/spreadsheets/d/1xsp01RMmkav9iTy39Zaj_7tE9677EGlOJ14KU9TZn7I/"",""1985-2003!T2931"")"),5.79419478)</f>
        <v>5.7941947799999998</v>
      </c>
      <c r="F148" s="71">
        <f ca="1">IFERROR(__xludf.DUMMYFUNCTION("$C142*IMPORTRANGE(""https://docs.google.com/spreadsheets/d/1xsp01RMmkav9iTy39Zaj_7tE9677EGlOJ14KU9TZn7I/"",""1985-2003!AC2931"")"),900.209705999999)</f>
        <v>900.20970599999896</v>
      </c>
      <c r="G148" s="57" t="s">
        <v>8</v>
      </c>
      <c r="H148" s="5"/>
      <c r="I148" s="5"/>
      <c r="J148" s="5"/>
      <c r="K148" s="2"/>
      <c r="L148" s="3"/>
      <c r="M148" s="52"/>
      <c r="N148" s="52"/>
      <c r="O148" s="52"/>
      <c r="P148" s="52"/>
      <c r="Q148" s="2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2" x14ac:dyDescent="0.25">
      <c r="A149" s="72" t="s">
        <v>170</v>
      </c>
      <c r="B149" s="73">
        <v>72</v>
      </c>
      <c r="C149" s="74">
        <f>16953.8/1000</f>
        <v>16.953799999999998</v>
      </c>
      <c r="D149" s="75">
        <f ca="1">IFERROR(__xludf.DUMMYFUNCTION("$C143*IMPORTRANGE(""https://docs.google.com/spreadsheets/d/1xsp01RMmkav9iTy39Zaj_7tE9677EGlOJ14KU9TZn7I/"",""1985-2003!H2954"")"),12.6585547699999)</f>
        <v>12.658554769999901</v>
      </c>
      <c r="E149" s="75">
        <f ca="1">IFERROR(__xludf.DUMMYFUNCTION("$C143*IMPORTRANGE(""https://docs.google.com/spreadsheets/d/1xsp01RMmkav9iTy39Zaj_7tE9677EGlOJ14KU9TZn7I/"",""1985-2003!T2954"")"),10.7402322999999)</f>
        <v>10.740232299999899</v>
      </c>
      <c r="F149" s="75">
        <f ca="1">IFERROR(__xludf.DUMMYFUNCTION("$C143*IMPORTRANGE(""https://docs.google.com/spreadsheets/d/1xsp01RMmkav9iTy39Zaj_7tE9677EGlOJ14KU9TZn7I/"",""1985-2003!AC2954"")"),1707.501967)</f>
        <v>1707.5019669999999</v>
      </c>
      <c r="G149" s="72" t="s">
        <v>8</v>
      </c>
      <c r="H149" s="5"/>
      <c r="I149" s="5"/>
      <c r="J149" s="5"/>
      <c r="K149" s="2"/>
      <c r="L149" s="3"/>
      <c r="M149" s="52"/>
      <c r="N149" s="52"/>
      <c r="O149" s="52"/>
      <c r="P149" s="52"/>
      <c r="Q149" s="2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2" x14ac:dyDescent="0.25">
      <c r="A150" s="57" t="s">
        <v>171</v>
      </c>
      <c r="B150" s="58">
        <v>65</v>
      </c>
      <c r="C150" s="59">
        <f>11491.7/1000</f>
        <v>11.491700000000002</v>
      </c>
      <c r="D150" s="71">
        <f ca="1">IFERROR(__xludf.DUMMYFUNCTION("$C144*IMPORTRANGE(""https://docs.google.com/spreadsheets/d/1xsp01RMmkav9iTy39Zaj_7tE9677EGlOJ14KU9TZn7I/"",""1985-2003!H2977"")"),8.535460175)</f>
        <v>8.5354601750000008</v>
      </c>
      <c r="E150" s="71">
        <f ca="1">IFERROR(__xludf.DUMMYFUNCTION("$C144*IMPORTRANGE(""https://docs.google.com/spreadsheets/d/1xsp01RMmkav9iTy39Zaj_7tE9677EGlOJ14KU9TZn7I/"",""1985-2003!T2977"")"),7.36273219)</f>
        <v>7.36273219</v>
      </c>
      <c r="F150" s="71">
        <f ca="1">IFERROR(__xludf.DUMMYFUNCTION("$C144*IMPORTRANGE(""https://docs.google.com/spreadsheets/d/1xsp01RMmkav9iTy39Zaj_7tE9677EGlOJ14KU9TZn7I/"",""1985-2003!AC2977"")"),1168.7633485)</f>
        <v>1168.7633484999999</v>
      </c>
      <c r="G150" s="57" t="s">
        <v>8</v>
      </c>
      <c r="H150" s="5"/>
      <c r="I150" s="5"/>
      <c r="J150" s="5"/>
      <c r="K150" s="2"/>
      <c r="L150" s="3"/>
      <c r="M150" s="52"/>
      <c r="N150" s="52"/>
      <c r="O150" s="52"/>
      <c r="P150" s="52"/>
      <c r="Q150" s="2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2" x14ac:dyDescent="0.25">
      <c r="A151" s="76" t="s">
        <v>52</v>
      </c>
      <c r="B151" s="77">
        <v>182</v>
      </c>
      <c r="C151" s="78">
        <f>8026.1/1000</f>
        <v>8.0260999999999996</v>
      </c>
      <c r="D151" s="79">
        <f ca="1">IFERROR(__xludf.DUMMYFUNCTION("$C145*IMPORTRANGE(""https://docs.google.com/spreadsheets/d/1xsp01RMmkav9iTy39Zaj_7tE9677EGlOJ14KU9TZn7I/"",""1985-2003!H2999"")"),6.04766634999999)</f>
        <v>6.0476663499999903</v>
      </c>
      <c r="E151" s="79">
        <f ca="1">IFERROR(__xludf.DUMMYFUNCTION("$C145*IMPORTRANGE(""https://docs.google.com/spreadsheets/d/1xsp01RMmkav9iTy39Zaj_7tE9677EGlOJ14KU9TZn7I/"",""1985-2003!T2999"")"),5.21455717)</f>
        <v>5.21455717</v>
      </c>
      <c r="F151" s="79">
        <f ca="1">IFERROR(__xludf.DUMMYFUNCTION("$C145*IMPORTRANGE(""https://docs.google.com/spreadsheets/d/1xsp01RMmkav9iTy39Zaj_7tE9677EGlOJ14KU9TZn7I/"",""1985-2003!AC2999"")"),816.655675)</f>
        <v>816.65567499999997</v>
      </c>
      <c r="G151" s="76" t="s">
        <v>8</v>
      </c>
      <c r="H151" s="5"/>
      <c r="I151" s="5"/>
      <c r="J151" s="5"/>
      <c r="K151" s="2"/>
      <c r="L151" s="3"/>
      <c r="M151" s="52"/>
      <c r="N151" s="52"/>
      <c r="O151" s="52"/>
      <c r="P151" s="52"/>
      <c r="Q151" s="2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2" x14ac:dyDescent="0.25">
      <c r="A152" s="68">
        <v>1996</v>
      </c>
      <c r="B152" s="69"/>
      <c r="C152" s="70"/>
      <c r="D152" s="70"/>
      <c r="E152" s="70"/>
      <c r="F152" s="70"/>
      <c r="G152" s="68"/>
      <c r="H152" s="5"/>
      <c r="I152" s="5"/>
      <c r="J152" s="5"/>
      <c r="K152" s="2"/>
      <c r="L152" s="3"/>
      <c r="M152" s="52"/>
      <c r="N152" s="52"/>
      <c r="O152" s="52"/>
      <c r="P152" s="52"/>
      <c r="Q152" s="2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2" x14ac:dyDescent="0.25">
      <c r="A153" s="57" t="s">
        <v>172</v>
      </c>
      <c r="B153" s="58">
        <v>56</v>
      </c>
      <c r="C153" s="59">
        <f>14384.4/1000</f>
        <v>14.384399999999999</v>
      </c>
      <c r="D153" s="71">
        <f ca="1">IFERROR(__xludf.DUMMYFUNCTION("$C147*IMPORTRANGE(""https://docs.google.com/spreadsheets/d/1xsp01RMmkav9iTy39Zaj_7tE9677EGlOJ14KU9TZn7I/"",""1985-2003!H3023"")"),11.16732894)</f>
        <v>11.167328940000001</v>
      </c>
      <c r="E153" s="71">
        <f ca="1">IFERROR(__xludf.DUMMYFUNCTION("$C147*IMPORTRANGE(""https://docs.google.com/spreadsheets/d/1xsp01RMmkav9iTy39Zaj_7tE9677EGlOJ14KU9TZn7I/"",""1985-2003!T3023"")"),9.39373241999999)</f>
        <v>9.3937324199999903</v>
      </c>
      <c r="F153" s="71">
        <f ca="1">IFERROR(__xludf.DUMMYFUNCTION("$C147*IMPORTRANGE(""https://docs.google.com/spreadsheets/d/1xsp01RMmkav9iTy39Zaj_7tE9677EGlOJ14KU9TZn7I/"",""1985-2003!AC3023"")"),1517.41035599999)</f>
        <v>1517.4103559999901</v>
      </c>
      <c r="G153" s="57" t="s">
        <v>8</v>
      </c>
      <c r="H153" s="5"/>
      <c r="I153" s="5"/>
      <c r="J153" s="5"/>
      <c r="K153" s="2"/>
      <c r="L153" s="3"/>
      <c r="M153" s="52"/>
      <c r="N153" s="52"/>
      <c r="O153" s="52"/>
      <c r="P153" s="52"/>
      <c r="Q153" s="2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2" x14ac:dyDescent="0.25">
      <c r="A154" s="72" t="s">
        <v>173</v>
      </c>
      <c r="B154" s="73">
        <v>64</v>
      </c>
      <c r="C154" s="74">
        <f>12283.3/1000</f>
        <v>12.283299999999999</v>
      </c>
      <c r="D154" s="75">
        <f ca="1">IFERROR(__xludf.DUMMYFUNCTION("$C148*IMPORTRANGE(""https://docs.google.com/spreadsheets/d/1xsp01RMmkav9iTy39Zaj_7tE9677EGlOJ14KU9TZn7I/"",""1985-2003!H3045"")"),9.60308394)</f>
        <v>9.6030839399999994</v>
      </c>
      <c r="E154" s="75">
        <f ca="1">IFERROR(__xludf.DUMMYFUNCTION("$C148*IMPORTRANGE(""https://docs.google.com/spreadsheets/d/1xsp01RMmkav9iTy39Zaj_7tE9677EGlOJ14KU9TZn7I/"",""1985-2003!T3045"")"),7.98782998999999)</f>
        <v>7.9878299899999901</v>
      </c>
      <c r="F154" s="75">
        <f ca="1">IFERROR(__xludf.DUMMYFUNCTION("$C148*IMPORTRANGE(""https://docs.google.com/spreadsheets/d/1xsp01RMmkav9iTy39Zaj_7tE9677EGlOJ14KU9TZn7I/"",""1985-2003!AC3045"")"),1293.185824)</f>
        <v>1293.1858239999999</v>
      </c>
      <c r="G154" s="72" t="s">
        <v>8</v>
      </c>
      <c r="H154" s="5"/>
      <c r="I154" s="5"/>
      <c r="J154" s="5"/>
      <c r="K154" s="2"/>
      <c r="L154" s="3"/>
      <c r="M154" s="52"/>
      <c r="N154" s="52"/>
      <c r="O154" s="52"/>
      <c r="P154" s="52"/>
      <c r="Q154" s="2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2" x14ac:dyDescent="0.25">
      <c r="A155" s="57" t="s">
        <v>174</v>
      </c>
      <c r="B155" s="58">
        <v>70</v>
      </c>
      <c r="C155" s="59">
        <f>7488.6/1000</f>
        <v>7.4885999999999999</v>
      </c>
      <c r="D155" s="71">
        <f ca="1">IFERROR(__xludf.DUMMYFUNCTION("$C149*IMPORTRANGE(""https://docs.google.com/spreadsheets/d/1xsp01RMmkav9iTy39Zaj_7tE9677EGlOJ14KU9TZn7I/"",""1985-2003!H3067"")"),5.84784774)</f>
        <v>5.8478477399999997</v>
      </c>
      <c r="E155" s="71">
        <f ca="1">IFERROR(__xludf.DUMMYFUNCTION("$C149*IMPORTRANGE(""https://docs.google.com/spreadsheets/d/1xsp01RMmkav9iTy39Zaj_7tE9677EGlOJ14KU9TZn7I/"",""1985-2003!T3067"")"),4.90578186)</f>
        <v>4.9057818600000003</v>
      </c>
      <c r="F155" s="71">
        <f ca="1">IFERROR(__xludf.DUMMYFUNCTION("$C149*IMPORTRANGE(""https://docs.google.com/spreadsheets/d/1xsp01RMmkav9iTy39Zaj_7tE9677EGlOJ14KU9TZn7I/"",""1985-2003!AC3067"")"),792.29388)</f>
        <v>792.29387999999994</v>
      </c>
      <c r="G155" s="57" t="s">
        <v>8</v>
      </c>
      <c r="H155" s="5"/>
      <c r="I155" s="5"/>
      <c r="J155" s="5"/>
      <c r="K155" s="2"/>
      <c r="L155" s="3"/>
      <c r="M155" s="52"/>
      <c r="N155" s="52"/>
      <c r="O155" s="52"/>
      <c r="P155" s="52"/>
      <c r="Q155" s="2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2" x14ac:dyDescent="0.25">
      <c r="A156" s="72" t="s">
        <v>175</v>
      </c>
      <c r="B156" s="73">
        <v>60</v>
      </c>
      <c r="C156" s="74">
        <f>32031/1000</f>
        <v>32.030999999999999</v>
      </c>
      <c r="D156" s="75">
        <f ca="1">IFERROR(__xludf.DUMMYFUNCTION("$C150*IMPORTRANGE(""https://docs.google.com/spreadsheets/d/1xsp01RMmkav9iTy39Zaj_7tE9677EGlOJ14KU9TZn7I/"",""1985-2003!H3090"")"),25.3701535499999)</f>
        <v>25.370153549999898</v>
      </c>
      <c r="E156" s="75">
        <f ca="1">IFERROR(__xludf.DUMMYFUNCTION("$C150*IMPORTRANGE(""https://docs.google.com/spreadsheets/d/1xsp01RMmkav9iTy39Zaj_7tE9677EGlOJ14KU9TZn7I/"",""1985-2003!T3090"")"),21.17409255)</f>
        <v>21.174092550000001</v>
      </c>
      <c r="F156" s="75">
        <f ca="1">IFERROR(__xludf.DUMMYFUNCTION("$C150*IMPORTRANGE(""https://docs.google.com/spreadsheets/d/1xsp01RMmkav9iTy39Zaj_7tE9677EGlOJ14KU9TZn7I/"",""1985-2003!AC3090"")"),3442.05125999999)</f>
        <v>3442.0512599999902</v>
      </c>
      <c r="G156" s="72" t="s">
        <v>8</v>
      </c>
      <c r="H156" s="5"/>
      <c r="I156" s="5"/>
      <c r="J156" s="5"/>
      <c r="K156" s="2"/>
      <c r="L156" s="3"/>
      <c r="M156" s="52"/>
      <c r="N156" s="52"/>
      <c r="O156" s="52"/>
      <c r="P156" s="52"/>
      <c r="Q156" s="2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2" x14ac:dyDescent="0.25">
      <c r="A157" s="57" t="s">
        <v>176</v>
      </c>
      <c r="B157" s="58">
        <v>80</v>
      </c>
      <c r="C157" s="59">
        <f>4425.7/1000</f>
        <v>4.4257</v>
      </c>
      <c r="D157" s="71">
        <f ca="1">IFERROR(__xludf.DUMMYFUNCTION("$C151*IMPORTRANGE(""https://docs.google.com/spreadsheets/d/1xsp01RMmkav9iTy39Zaj_7tE9677EGlOJ14KU9TZn7I/"",""1985-2003!H3114"")"),3.54631341)</f>
        <v>3.5463134100000002</v>
      </c>
      <c r="E157" s="71">
        <f ca="1">IFERROR(__xludf.DUMMYFUNCTION("$C151*IMPORTRANGE(""https://docs.google.com/spreadsheets/d/1xsp01RMmkav9iTy39Zaj_7tE9677EGlOJ14KU9TZn7I/"",""1985-2003!T3114"")"),2.92450256)</f>
        <v>2.9245025600000001</v>
      </c>
      <c r="F157" s="71">
        <f ca="1">IFERROR(__xludf.DUMMYFUNCTION("$C151*IMPORTRANGE(""https://docs.google.com/spreadsheets/d/1xsp01RMmkav9iTy39Zaj_7tE9677EGlOJ14KU9TZn7I/"",""1985-2003!AC3114"")"),472.709017)</f>
        <v>472.70901700000002</v>
      </c>
      <c r="G157" s="57" t="s">
        <v>8</v>
      </c>
      <c r="H157" s="5"/>
      <c r="I157" s="5"/>
      <c r="J157" s="5"/>
      <c r="K157" s="2"/>
      <c r="L157" s="3"/>
      <c r="M157" s="52"/>
      <c r="N157" s="52"/>
      <c r="O157" s="52"/>
      <c r="P157" s="52"/>
      <c r="Q157" s="2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2" x14ac:dyDescent="0.25">
      <c r="A158" s="72" t="s">
        <v>177</v>
      </c>
      <c r="B158" s="73">
        <v>180</v>
      </c>
      <c r="C158" s="74">
        <f>18433.3/1000</f>
        <v>18.433299999999999</v>
      </c>
      <c r="D158" s="75">
        <f ca="1">IFERROR(__xludf.DUMMYFUNCTION("$C152*IMPORTRANGE(""https://docs.google.com/spreadsheets/d/1xsp01RMmkav9iTy39Zaj_7tE9677EGlOJ14KU9TZn7I/"",""1985-2003!H3135"")"),14.6821234499999)</f>
        <v>14.682123449999899</v>
      </c>
      <c r="E158" s="75">
        <f ca="1">IFERROR(__xludf.DUMMYFUNCTION("$C152*IMPORTRANGE(""https://docs.google.com/spreadsheets/d/1xsp01RMmkav9iTy39Zaj_7tE9677EGlOJ14KU9TZn7I/"",""1985-2003!T3135"")"),11.962290035)</f>
        <v>11.962290035000001</v>
      </c>
      <c r="F158" s="75">
        <f ca="1">IFERROR(__xludf.DUMMYFUNCTION("$C152*IMPORTRANGE(""https://docs.google.com/spreadsheets/d/1xsp01RMmkav9iTy39Zaj_7tE9677EGlOJ14KU9TZn7I/"",""1985-2003!AC3135"")"),2010.05919849999)</f>
        <v>2010.0591984999901</v>
      </c>
      <c r="G158" s="72" t="s">
        <v>8</v>
      </c>
      <c r="H158" s="5"/>
      <c r="I158" s="5"/>
      <c r="J158" s="5"/>
      <c r="K158" s="2"/>
      <c r="L158" s="3"/>
      <c r="M158" s="52"/>
      <c r="N158" s="52"/>
      <c r="O158" s="52"/>
      <c r="P158" s="52"/>
      <c r="Q158" s="2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2" x14ac:dyDescent="0.25">
      <c r="A159" s="57" t="s">
        <v>178</v>
      </c>
      <c r="B159" s="58">
        <v>71</v>
      </c>
      <c r="C159" s="59">
        <f>7656.8/1000</f>
        <v>7.6568000000000005</v>
      </c>
      <c r="D159" s="71">
        <f ca="1">IFERROR(__xludf.DUMMYFUNCTION("$C153*IMPORTRANGE(""https://docs.google.com/spreadsheets/d/1xsp01RMmkav9iTy39Zaj_7tE9677EGlOJ14KU9TZn7I/"",""1985-2003!H3159"")"),5.96617856)</f>
        <v>5.9661785600000004</v>
      </c>
      <c r="E159" s="71">
        <f ca="1">IFERROR(__xludf.DUMMYFUNCTION("$C153*IMPORTRANGE(""https://docs.google.com/spreadsheets/d/1xsp01RMmkav9iTy39Zaj_7tE9677EGlOJ14KU9TZn7I/"",""1985-2003!T3159"")"),4.92408808)</f>
        <v>4.9240880799999998</v>
      </c>
      <c r="F159" s="71">
        <f ca="1">IFERROR(__xludf.DUMMYFUNCTION("$C153*IMPORTRANGE(""https://docs.google.com/spreadsheets/d/1xsp01RMmkav9iTy39Zaj_7tE9677EGlOJ14KU9TZn7I/"",""1985-2003!AC3159"")"),837.27108)</f>
        <v>837.27107999999998</v>
      </c>
      <c r="G159" s="57" t="s">
        <v>8</v>
      </c>
      <c r="H159" s="5"/>
      <c r="I159" s="5"/>
      <c r="J159" s="5"/>
      <c r="K159" s="2"/>
      <c r="L159" s="3"/>
      <c r="M159" s="52"/>
      <c r="N159" s="52"/>
      <c r="O159" s="52"/>
      <c r="P159" s="52"/>
      <c r="Q159" s="2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2" x14ac:dyDescent="0.25">
      <c r="A160" s="72" t="s">
        <v>179</v>
      </c>
      <c r="B160" s="73">
        <v>74</v>
      </c>
      <c r="C160" s="74">
        <f>8119.2/1000</f>
        <v>8.1191999999999993</v>
      </c>
      <c r="D160" s="75">
        <f ca="1">IFERROR(__xludf.DUMMYFUNCTION("$C154*IMPORTRANGE(""https://docs.google.com/spreadsheets/d/1xsp01RMmkav9iTy39Zaj_7tE9677EGlOJ14KU9TZn7I/"",""1985-2003!H3182"")"),6.3004992)</f>
        <v>6.3004992</v>
      </c>
      <c r="E160" s="75">
        <f ca="1">IFERROR(__xludf.DUMMYFUNCTION("$C154*IMPORTRANGE(""https://docs.google.com/spreadsheets/d/1xsp01RMmkav9iTy39Zaj_7tE9677EGlOJ14KU9TZn7I/"",""1985-2003!T3182"")"),5.23850784)</f>
        <v>5.2385078399999996</v>
      </c>
      <c r="F160" s="75">
        <f ca="1">IFERROR(__xludf.DUMMYFUNCTION("$C154*IMPORTRANGE(""https://docs.google.com/spreadsheets/d/1xsp01RMmkav9iTy39Zaj_7tE9677EGlOJ14KU9TZn7I/"",""1985-2003!AC3182"")"),876.345851999999)</f>
        <v>876.34585199999901</v>
      </c>
      <c r="G160" s="72" t="s">
        <v>8</v>
      </c>
      <c r="H160" s="5"/>
      <c r="I160" s="5"/>
      <c r="J160" s="5"/>
      <c r="K160" s="2"/>
      <c r="L160" s="3"/>
      <c r="M160" s="52"/>
      <c r="N160" s="52"/>
      <c r="O160" s="52"/>
      <c r="P160" s="52"/>
      <c r="Q160" s="2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2" x14ac:dyDescent="0.25">
      <c r="A161" s="57" t="s">
        <v>180</v>
      </c>
      <c r="B161" s="80">
        <v>71</v>
      </c>
      <c r="C161" s="59">
        <f>20078.2/1000</f>
        <v>20.078200000000002</v>
      </c>
      <c r="D161" s="71">
        <f ca="1">IFERROR(__xludf.DUMMYFUNCTION("$C155*IMPORTRANGE(""https://docs.google.com/spreadsheets/d/1xsp01RMmkav9iTy39Zaj_7tE9677EGlOJ14KU9TZn7I/"",""1985-2003!H3204"")"),15.7915043)</f>
        <v>15.7915043</v>
      </c>
      <c r="E161" s="71">
        <f ca="1">IFERROR(__xludf.DUMMYFUNCTION("$C155*IMPORTRANGE(""https://docs.google.com/spreadsheets/d/1xsp01RMmkav9iTy39Zaj_7tE9677EGlOJ14KU9TZn7I/"",""1985-2003!T3204"")"),12.87213402)</f>
        <v>12.872134020000001</v>
      </c>
      <c r="F161" s="71">
        <f ca="1">IFERROR(__xludf.DUMMYFUNCTION("$C155*IMPORTRANGE(""https://docs.google.com/spreadsheets/d/1xsp01RMmkav9iTy39Zaj_7tE9677EGlOJ14KU9TZn7I/"",""1985-2003!AC3204"")"),2207.59809)</f>
        <v>2207.59809</v>
      </c>
      <c r="G161" s="57" t="s">
        <v>8</v>
      </c>
      <c r="H161" s="5"/>
      <c r="I161" s="5"/>
      <c r="J161" s="5"/>
      <c r="K161" s="2"/>
      <c r="L161" s="3"/>
      <c r="M161" s="52"/>
      <c r="N161" s="52"/>
      <c r="O161" s="52"/>
      <c r="P161" s="52"/>
      <c r="Q161" s="2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2" x14ac:dyDescent="0.25">
      <c r="A162" s="72" t="s">
        <v>181</v>
      </c>
      <c r="B162" s="73">
        <v>98</v>
      </c>
      <c r="C162" s="74">
        <f>16744.8/1000</f>
        <v>16.744799999999998</v>
      </c>
      <c r="D162" s="75">
        <f ca="1">IFERROR(__xludf.DUMMYFUNCTION("$C156*IMPORTRANGE(""https://docs.google.com/spreadsheets/d/1xsp01RMmkav9iTy39Zaj_7tE9677EGlOJ14KU9TZn7I/"",""1985-2003!H3228"")"),13.2518347199999)</f>
        <v>13.2518347199999</v>
      </c>
      <c r="E162" s="75">
        <f ca="1">IFERROR(__xludf.DUMMYFUNCTION("$C156*IMPORTRANGE(""https://docs.google.com/spreadsheets/d/1xsp01RMmkav9iTy39Zaj_7tE9677EGlOJ14KU9TZn7I/"",""1985-2003!T3228"")"),10.5642943199999)</f>
        <v>10.564294319999901</v>
      </c>
      <c r="F162" s="75">
        <f ca="1">IFERROR(__xludf.DUMMYFUNCTION("$C156*IMPORTRANGE(""https://docs.google.com/spreadsheets/d/1xsp01RMmkav9iTy39Zaj_7tE9677EGlOJ14KU9TZn7I/"",""1985-2003!AC3228"")"),1879.60379999999)</f>
        <v>1879.6037999999901</v>
      </c>
      <c r="G162" s="72" t="s">
        <v>8</v>
      </c>
      <c r="H162" s="5"/>
      <c r="I162" s="5"/>
      <c r="J162" s="5"/>
      <c r="K162" s="2"/>
      <c r="L162" s="3"/>
      <c r="M162" s="52"/>
      <c r="N162" s="52"/>
      <c r="O162" s="52"/>
      <c r="P162" s="52"/>
      <c r="Q162" s="2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2" x14ac:dyDescent="0.25">
      <c r="A163" s="57" t="s">
        <v>182</v>
      </c>
      <c r="B163" s="58">
        <v>92</v>
      </c>
      <c r="C163" s="59">
        <f>21334.6/1000</f>
        <v>21.334599999999998</v>
      </c>
      <c r="D163" s="71">
        <f ca="1">IFERROR(__xludf.DUMMYFUNCTION("$C157*IMPORTRANGE(""https://docs.google.com/spreadsheets/d/1xsp01RMmkav9iTy39Zaj_7tE9677EGlOJ14KU9TZn7I/"",""1985-2003!H3250"")"),16.64952184)</f>
        <v>16.649521839999998</v>
      </c>
      <c r="E163" s="71">
        <f ca="1">IFERROR(__xludf.DUMMYFUNCTION("$C157*IMPORTRANGE(""https://docs.google.com/spreadsheets/d/1xsp01RMmkav9iTy39Zaj_7tE9677EGlOJ14KU9TZn7I/"",""1985-2003!T3250"")"),12.8178276799999)</f>
        <v>12.817827679999899</v>
      </c>
      <c r="F163" s="71">
        <f ca="1">IFERROR(__xludf.DUMMYFUNCTION("$C157*IMPORTRANGE(""https://docs.google.com/spreadsheets/d/1xsp01RMmkav9iTy39Zaj_7tE9677EGlOJ14KU9TZn7I/"",""1985-2003!AC3250"")"),2384.781588)</f>
        <v>2384.7815879999998</v>
      </c>
      <c r="G163" s="57" t="s">
        <v>8</v>
      </c>
      <c r="H163" s="5"/>
      <c r="I163" s="5"/>
      <c r="J163" s="5"/>
      <c r="K163" s="2"/>
      <c r="L163" s="3"/>
      <c r="M163" s="52"/>
      <c r="N163" s="52"/>
      <c r="O163" s="52"/>
      <c r="P163" s="52"/>
      <c r="Q163" s="2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2" x14ac:dyDescent="0.25">
      <c r="A164" s="76" t="s">
        <v>183</v>
      </c>
      <c r="B164" s="77">
        <v>221</v>
      </c>
      <c r="C164" s="78">
        <f>7573.7/1000</f>
        <v>7.5736999999999997</v>
      </c>
      <c r="D164" s="79">
        <f ca="1">IFERROR(__xludf.DUMMYFUNCTION("$C158*IMPORTRANGE(""https://docs.google.com/spreadsheets/d/1xsp01RMmkav9iTy39Zaj_7tE9677EGlOJ14KU9TZn7I/"",""1985-2003!H3273"")"),6.05744526)</f>
        <v>6.0574452599999997</v>
      </c>
      <c r="E164" s="79">
        <f ca="1">IFERROR(__xludf.DUMMYFUNCTION("$C158*IMPORTRANGE(""https://docs.google.com/spreadsheets/d/1xsp01RMmkav9iTy39Zaj_7tE9677EGlOJ14KU9TZn7I/"",""1985-2003!T3273"")"),4.55217238499999)</f>
        <v>4.5521723849999898</v>
      </c>
      <c r="F164" s="79">
        <f ca="1">IFERROR(__xludf.DUMMYFUNCTION("$C158*IMPORTRANGE(""https://docs.google.com/spreadsheets/d/1xsp01RMmkav9iTy39Zaj_7tE9677EGlOJ14KU9TZn7I/"",""1985-2003!AC3273"")"),862.6822985)</f>
        <v>862.6822985</v>
      </c>
      <c r="G164" s="76" t="s">
        <v>8</v>
      </c>
      <c r="H164" s="5"/>
      <c r="I164" s="5"/>
      <c r="J164" s="5"/>
      <c r="K164" s="2"/>
      <c r="L164" s="3"/>
      <c r="M164" s="52"/>
      <c r="N164" s="52"/>
      <c r="O164" s="52"/>
      <c r="P164" s="52"/>
      <c r="Q164" s="2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2" x14ac:dyDescent="0.25">
      <c r="A165" s="68">
        <v>1997</v>
      </c>
      <c r="B165" s="69"/>
      <c r="C165" s="70"/>
      <c r="D165" s="70"/>
      <c r="E165" s="70"/>
      <c r="F165" s="70"/>
      <c r="G165" s="68"/>
      <c r="H165" s="5"/>
      <c r="I165" s="5"/>
      <c r="J165" s="5"/>
      <c r="K165" s="2"/>
      <c r="L165" s="3"/>
      <c r="M165" s="52"/>
      <c r="N165" s="52"/>
      <c r="O165" s="52"/>
      <c r="P165" s="52"/>
      <c r="Q165" s="2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2" x14ac:dyDescent="0.25">
      <c r="A166" s="57" t="s">
        <v>184</v>
      </c>
      <c r="B166" s="58">
        <v>92</v>
      </c>
      <c r="C166" s="59">
        <f>21665.5/1000</f>
        <v>21.665500000000002</v>
      </c>
      <c r="D166" s="71">
        <f ca="1">IFERROR(__xludf.DUMMYFUNCTION("$C160*IMPORTRANGE(""https://docs.google.com/spreadsheets/d/1xsp01RMmkav9iTy39Zaj_7tE9677EGlOJ14KU9TZn7I/"",""1985-2003!H3297"")"),17.777626025)</f>
        <v>17.777626025</v>
      </c>
      <c r="E166" s="71">
        <f ca="1">IFERROR(__xludf.DUMMYFUNCTION("$C160*IMPORTRANGE(""https://docs.google.com/spreadsheets/d/1xsp01RMmkav9iTy39Zaj_7tE9677EGlOJ14KU9TZn7I/"",""1985-2003!T3297"")"),12.983050875)</f>
        <v>12.983050875</v>
      </c>
      <c r="F166" s="71">
        <f ca="1">IFERROR(__xludf.DUMMYFUNCTION("$C160*IMPORTRANGE(""https://docs.google.com/spreadsheets/d/1xsp01RMmkav9iTy39Zaj_7tE9677EGlOJ14KU9TZn7I/"",""1985-2003!AC3297"")"),2537.03005)</f>
        <v>2537.0300499999998</v>
      </c>
      <c r="G166" s="57" t="s">
        <v>8</v>
      </c>
      <c r="H166" s="5"/>
      <c r="I166" s="5"/>
      <c r="J166" s="5"/>
      <c r="K166" s="2"/>
      <c r="L166" s="3"/>
      <c r="M166" s="52"/>
      <c r="N166" s="52"/>
      <c r="O166" s="52"/>
      <c r="P166" s="52"/>
      <c r="Q166" s="2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2" x14ac:dyDescent="0.25">
      <c r="A167" s="72" t="s">
        <v>185</v>
      </c>
      <c r="B167" s="73">
        <v>83</v>
      </c>
      <c r="C167" s="74">
        <f>22093.7/1000</f>
        <v>22.093700000000002</v>
      </c>
      <c r="D167" s="75">
        <f ca="1">IFERROR(__xludf.DUMMYFUNCTION("$C161*IMPORTRANGE(""https://docs.google.com/spreadsheets/d/1xsp01RMmkav9iTy39Zaj_7tE9677EGlOJ14KU9TZn7I/"",""1985-2003!H3318"")"),19.070177155)</f>
        <v>19.070177155</v>
      </c>
      <c r="E167" s="75">
        <f ca="1">IFERROR(__xludf.DUMMYFUNCTION("$C161*IMPORTRANGE(""https://docs.google.com/spreadsheets/d/1xsp01RMmkav9iTy39Zaj_7tE9677EGlOJ14KU9TZn7I/"",""1985-2003!T3318"")"),13.58099739)</f>
        <v>13.58099739</v>
      </c>
      <c r="F167" s="75">
        <f ca="1">IFERROR(__xludf.DUMMYFUNCTION("$C161*IMPORTRANGE(""https://docs.google.com/spreadsheets/d/1xsp01RMmkav9iTy39Zaj_7tE9677EGlOJ14KU9TZn7I/"",""1985-2003!AC3318"")"),2720.2868125)</f>
        <v>2720.2868125</v>
      </c>
      <c r="G167" s="72" t="s">
        <v>8</v>
      </c>
      <c r="H167" s="5"/>
      <c r="I167" s="5"/>
      <c r="J167" s="5"/>
      <c r="K167" s="2"/>
      <c r="L167" s="3"/>
      <c r="M167" s="52"/>
      <c r="N167" s="52"/>
      <c r="O167" s="52"/>
      <c r="P167" s="52"/>
      <c r="Q167" s="2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2" x14ac:dyDescent="0.25">
      <c r="A168" s="57" t="s">
        <v>186</v>
      </c>
      <c r="B168" s="58">
        <v>86</v>
      </c>
      <c r="C168" s="59">
        <f>17743.9/1000</f>
        <v>17.7439</v>
      </c>
      <c r="D168" s="71">
        <f ca="1">IFERROR(__xludf.DUMMYFUNCTION("$C162*IMPORTRANGE(""https://docs.google.com/spreadsheets/d/1xsp01RMmkav9iTy39Zaj_7tE9677EGlOJ14KU9TZn7I/"",""1985-2003!H3340"")"),15.45316251)</f>
        <v>15.45316251</v>
      </c>
      <c r="E168" s="71">
        <f ca="1">IFERROR(__xludf.DUMMYFUNCTION("$C162*IMPORTRANGE(""https://docs.google.com/spreadsheets/d/1xsp01RMmkav9iTy39Zaj_7tE9677EGlOJ14KU9TZn7I/"",""1985-2003!T3340"")"),11.06154726)</f>
        <v>11.061547259999999</v>
      </c>
      <c r="F168" s="71">
        <f ca="1">IFERROR(__xludf.DUMMYFUNCTION("$C162*IMPORTRANGE(""https://docs.google.com/spreadsheets/d/1xsp01RMmkav9iTy39Zaj_7tE9677EGlOJ14KU9TZn7I/"",""1985-2003!AC3340"")"),2178.596042)</f>
        <v>2178.5960420000001</v>
      </c>
      <c r="G168" s="57" t="s">
        <v>8</v>
      </c>
      <c r="H168" s="5"/>
      <c r="I168" s="5"/>
      <c r="J168" s="5"/>
      <c r="K168" s="2"/>
      <c r="L168" s="3"/>
      <c r="M168" s="52"/>
      <c r="N168" s="52"/>
      <c r="O168" s="52"/>
      <c r="P168" s="52"/>
      <c r="Q168" s="2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2" x14ac:dyDescent="0.25">
      <c r="A169" s="72" t="s">
        <v>187</v>
      </c>
      <c r="B169" s="73">
        <v>100</v>
      </c>
      <c r="C169" s="74">
        <f>11587.3/1000</f>
        <v>11.587299999999999</v>
      </c>
      <c r="D169" s="75">
        <f ca="1">IFERROR(__xludf.DUMMYFUNCTION("$C163*IMPORTRANGE(""https://docs.google.com/spreadsheets/d/1xsp01RMmkav9iTy39Zaj_7tE9677EGlOJ14KU9TZn7I/"",""1985-2003!H3363"")"),10.18639543)</f>
        <v>10.186395429999999</v>
      </c>
      <c r="E169" s="75">
        <f ca="1">IFERROR(__xludf.DUMMYFUNCTION("$C163*IMPORTRANGE(""https://docs.google.com/spreadsheets/d/1xsp01RMmkav9iTy39Zaj_7tE9677EGlOJ14KU9TZn7I/"",""1985-2003!T3363"")"),7.12387203999999)</f>
        <v>7.1238720399999904</v>
      </c>
      <c r="F169" s="75">
        <f ca="1">IFERROR(__xludf.DUMMYFUNCTION("$C163*IMPORTRANGE(""https://docs.google.com/spreadsheets/d/1xsp01RMmkav9iTy39Zaj_7tE9677EGlOJ14KU9TZn7I/"",""1985-2003!AC3363"")"),1460.69503799999)</f>
        <v>1460.6950379999901</v>
      </c>
      <c r="G169" s="72" t="s">
        <v>8</v>
      </c>
      <c r="H169" s="5"/>
      <c r="I169" s="5"/>
      <c r="J169" s="5"/>
      <c r="K169" s="2"/>
      <c r="L169" s="3"/>
      <c r="M169" s="52"/>
      <c r="N169" s="52"/>
      <c r="O169" s="52"/>
      <c r="P169" s="52"/>
      <c r="Q169" s="2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2" x14ac:dyDescent="0.25">
      <c r="A170" s="57" t="s">
        <v>188</v>
      </c>
      <c r="B170" s="58">
        <v>95</v>
      </c>
      <c r="C170" s="59">
        <f>21547.6/1000</f>
        <v>21.547599999999999</v>
      </c>
      <c r="D170" s="71">
        <f ca="1">IFERROR(__xludf.DUMMYFUNCTION("$C164*IMPORTRANGE(""https://docs.google.com/spreadsheets/d/1xsp01RMmkav9iTy39Zaj_7tE9677EGlOJ14KU9TZn7I/"",""1985-2003!H3386"")"),18.75287628)</f>
        <v>18.752876279999999</v>
      </c>
      <c r="E170" s="71">
        <f ca="1">IFERROR(__xludf.DUMMYFUNCTION("$C164*IMPORTRANGE(""https://docs.google.com/spreadsheets/d/1xsp01RMmkav9iTy39Zaj_7tE9677EGlOJ14KU9TZn7I/"",""1985-2003!T3386"")"),13.19036334)</f>
        <v>13.190363339999999</v>
      </c>
      <c r="F170" s="71">
        <f ca="1">IFERROR(__xludf.DUMMYFUNCTION("$C164*IMPORTRANGE(""https://docs.google.com/spreadsheets/d/1xsp01RMmkav9iTy39Zaj_7tE9677EGlOJ14KU9TZn7I/"",""1985-2003!AC3386"")"),2510.510876)</f>
        <v>2510.5108759999998</v>
      </c>
      <c r="G170" s="57" t="s">
        <v>8</v>
      </c>
      <c r="H170" s="5"/>
      <c r="I170" s="5"/>
      <c r="J170" s="5"/>
      <c r="K170" s="2"/>
      <c r="L170" s="3"/>
      <c r="M170" s="52"/>
      <c r="N170" s="52"/>
      <c r="O170" s="52"/>
      <c r="P170" s="52"/>
      <c r="Q170" s="2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2" x14ac:dyDescent="0.25">
      <c r="A171" s="72" t="s">
        <v>189</v>
      </c>
      <c r="B171" s="73">
        <v>363</v>
      </c>
      <c r="C171" s="74">
        <f>16056.8/1000</f>
        <v>16.056799999999999</v>
      </c>
      <c r="D171" s="75">
        <f ca="1">IFERROR(__xludf.DUMMYFUNCTION("$C165*IMPORTRANGE(""https://docs.google.com/spreadsheets/d/1xsp01RMmkav9iTy39Zaj_7tE9677EGlOJ14KU9TZn7I/"",""1985-2003!H3408"")"),14.1926055199999)</f>
        <v>14.192605519999899</v>
      </c>
      <c r="E171" s="75">
        <f ca="1">IFERROR(__xludf.DUMMYFUNCTION("$C165*IMPORTRANGE(""https://docs.google.com/spreadsheets/d/1xsp01RMmkav9iTy39Zaj_7tE9677EGlOJ14KU9TZn7I/"",""1985-2003!T3408"")"),9.8026764)</f>
        <v>9.8026763999999993</v>
      </c>
      <c r="F171" s="75">
        <f ca="1">IFERROR(__xludf.DUMMYFUNCTION("$C165*IMPORTRANGE(""https://docs.google.com/spreadsheets/d/1xsp01RMmkav9iTy39Zaj_7tE9677EGlOJ14KU9TZn7I/"",""1985-2003!AC3408"")"),1834.971104)</f>
        <v>1834.971104</v>
      </c>
      <c r="G171" s="72" t="s">
        <v>8</v>
      </c>
      <c r="H171" s="5"/>
      <c r="I171" s="5"/>
      <c r="J171" s="5"/>
      <c r="K171" s="2"/>
      <c r="L171" s="3"/>
      <c r="M171" s="52"/>
      <c r="N171" s="52"/>
      <c r="O171" s="52"/>
      <c r="P171" s="52"/>
      <c r="Q171" s="2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2" x14ac:dyDescent="0.25">
      <c r="A172" s="57" t="s">
        <v>190</v>
      </c>
      <c r="B172" s="58">
        <v>126</v>
      </c>
      <c r="C172" s="59">
        <f>22133.8/1000</f>
        <v>22.133800000000001</v>
      </c>
      <c r="D172" s="71">
        <f ca="1">IFERROR(__xludf.DUMMYFUNCTION("$C166*IMPORTRANGE(""https://docs.google.com/spreadsheets/d/1xsp01RMmkav9iTy39Zaj_7tE9677EGlOJ14KU9TZn7I/"",""1985-2003!H3432"")"),20.16610518)</f>
        <v>20.166105179999999</v>
      </c>
      <c r="E172" s="71">
        <f ca="1">IFERROR(__xludf.DUMMYFUNCTION("$C166*IMPORTRANGE(""https://docs.google.com/spreadsheets/d/1xsp01RMmkav9iTy39Zaj_7tE9677EGlOJ14KU9TZn7I/"",""1985-2003!T3432"")"),13.20059832)</f>
        <v>13.200598319999999</v>
      </c>
      <c r="F172" s="71">
        <f ca="1">IFERROR(__xludf.DUMMYFUNCTION("$C166*IMPORTRANGE(""https://docs.google.com/spreadsheets/d/1xsp01RMmkav9iTy39Zaj_7tE9677EGlOJ14KU9TZn7I/"",""1985-2003!AC3432"")"),2556.4539)</f>
        <v>2556.4539</v>
      </c>
      <c r="G172" s="57" t="s">
        <v>8</v>
      </c>
      <c r="H172" s="5"/>
      <c r="I172" s="5"/>
      <c r="J172" s="5"/>
      <c r="K172" s="2"/>
      <c r="L172" s="3"/>
      <c r="M172" s="52"/>
      <c r="N172" s="52"/>
      <c r="O172" s="52"/>
      <c r="P172" s="52"/>
      <c r="Q172" s="2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2" x14ac:dyDescent="0.25">
      <c r="A173" s="72" t="s">
        <v>191</v>
      </c>
      <c r="B173" s="73">
        <v>100</v>
      </c>
      <c r="C173" s="74">
        <f>13663.1/1000</f>
        <v>13.6631</v>
      </c>
      <c r="D173" s="75">
        <f ca="1">IFERROR(__xludf.DUMMYFUNCTION("$C167*IMPORTRANGE(""https://docs.google.com/spreadsheets/d/1xsp01RMmkav9iTy39Zaj_7tE9677EGlOJ14KU9TZn7I/"",""1985-2003!H3454"")"),12.818037265)</f>
        <v>12.818037264999999</v>
      </c>
      <c r="E173" s="75">
        <f ca="1">IFERROR(__xludf.DUMMYFUNCTION("$C167*IMPORTRANGE(""https://docs.google.com/spreadsheets/d/1xsp01RMmkav9iTy39Zaj_7tE9677EGlOJ14KU9TZn7I/"",""1985-2003!T3454"")"),8.50732921499999)</f>
        <v>8.5073292149999897</v>
      </c>
      <c r="F173" s="75">
        <f ca="1">IFERROR(__xludf.DUMMYFUNCTION("$C167*IMPORTRANGE(""https://docs.google.com/spreadsheets/d/1xsp01RMmkav9iTy39Zaj_7tE9677EGlOJ14KU9TZn7I/"",""1985-2003!AC3454"")"),1613.885372)</f>
        <v>1613.885372</v>
      </c>
      <c r="G173" s="72" t="s">
        <v>8</v>
      </c>
      <c r="H173" s="5"/>
      <c r="I173" s="5"/>
      <c r="J173" s="5"/>
      <c r="K173" s="2"/>
      <c r="L173" s="3"/>
      <c r="M173" s="52"/>
      <c r="N173" s="52"/>
      <c r="O173" s="52"/>
      <c r="P173" s="52"/>
      <c r="Q173" s="2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2" x14ac:dyDescent="0.25">
      <c r="A174" s="57" t="s">
        <v>192</v>
      </c>
      <c r="B174" s="58">
        <v>129</v>
      </c>
      <c r="C174" s="59">
        <f>45735.1/1000</f>
        <v>45.735099999999996</v>
      </c>
      <c r="D174" s="71">
        <f ca="1">IFERROR(__xludf.DUMMYFUNCTION("$C168*IMPORTRANGE(""https://docs.google.com/spreadsheets/d/1xsp01RMmkav9iTy39Zaj_7tE9677EGlOJ14KU9TZn7I/"",""1985-2003!H3477"")"),41.5137502699999)</f>
        <v>41.513750269999903</v>
      </c>
      <c r="E174" s="71">
        <f ca="1">IFERROR(__xludf.DUMMYFUNCTION("$C168*IMPORTRANGE(""https://docs.google.com/spreadsheets/d/1xsp01RMmkav9iTy39Zaj_7tE9677EGlOJ14KU9TZn7I/"",""1985-2003!T3477"")"),28.504401075)</f>
        <v>28.504401075000001</v>
      </c>
      <c r="F174" s="71">
        <f ca="1">IFERROR(__xludf.DUMMYFUNCTION("$C168*IMPORTRANGE(""https://docs.google.com/spreadsheets/d/1xsp01RMmkav9iTy39Zaj_7tE9677EGlOJ14KU9TZn7I/"",""1985-2003!AC3477"")"),5536.23385499999)</f>
        <v>5536.2338549999904</v>
      </c>
      <c r="G174" s="57" t="s">
        <v>8</v>
      </c>
      <c r="H174" s="5"/>
      <c r="I174" s="5"/>
      <c r="J174" s="5"/>
      <c r="K174" s="2"/>
      <c r="L174" s="3"/>
      <c r="M174" s="52"/>
      <c r="N174" s="52"/>
      <c r="O174" s="52"/>
      <c r="P174" s="52"/>
      <c r="Q174" s="2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2" x14ac:dyDescent="0.25">
      <c r="A175" s="72" t="s">
        <v>193</v>
      </c>
      <c r="B175" s="73">
        <v>143</v>
      </c>
      <c r="C175" s="74">
        <f>26764/1000</f>
        <v>26.763999999999999</v>
      </c>
      <c r="D175" s="75">
        <f ca="1">IFERROR(__xludf.DUMMYFUNCTION("$C169*IMPORTRANGE(""https://docs.google.com/spreadsheets/d/1xsp01RMmkav9iTy39Zaj_7tE9677EGlOJ14KU9TZn7I/"",""1985-2003!H3501"")"),23.9296924)</f>
        <v>23.9296924</v>
      </c>
      <c r="E175" s="75">
        <f ca="1">IFERROR(__xludf.DUMMYFUNCTION("$C169*IMPORTRANGE(""https://docs.google.com/spreadsheets/d/1xsp01RMmkav9iTy39Zaj_7tE9677EGlOJ14KU9TZn7I/"",""1985-2003!T3501"")"),16.486624)</f>
        <v>16.486623999999999</v>
      </c>
      <c r="F175" s="75">
        <f ca="1">IFERROR(__xludf.DUMMYFUNCTION("$C169*IMPORTRANGE(""https://docs.google.com/spreadsheets/d/1xsp01RMmkav9iTy39Zaj_7tE9677EGlOJ14KU9TZn7I/"",""1985-2003!AC3501"")"),3239.78219999999)</f>
        <v>3239.7821999999901</v>
      </c>
      <c r="G175" s="72" t="s">
        <v>8</v>
      </c>
      <c r="H175" s="5"/>
      <c r="I175" s="5"/>
      <c r="J175" s="5"/>
      <c r="K175" s="2"/>
      <c r="L175" s="3"/>
      <c r="M175" s="52"/>
      <c r="N175" s="52"/>
      <c r="O175" s="52"/>
      <c r="P175" s="52"/>
      <c r="Q175" s="2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2" x14ac:dyDescent="0.25">
      <c r="A176" s="57" t="s">
        <v>194</v>
      </c>
      <c r="B176" s="58">
        <v>139</v>
      </c>
      <c r="C176" s="59">
        <f>58517.8/1000</f>
        <v>58.517800000000001</v>
      </c>
      <c r="D176" s="71">
        <f ca="1">IFERROR(__xludf.DUMMYFUNCTION("$C170*IMPORTRANGE(""https://docs.google.com/spreadsheets/d/1xsp01RMmkav9iTy39Zaj_7tE9677EGlOJ14KU9TZn7I/"",""1985-2003!H3522"")"),51.41373908)</f>
        <v>51.413739079999999</v>
      </c>
      <c r="E176" s="71">
        <f ca="1">IFERROR(__xludf.DUMMYFUNCTION("$C170*IMPORTRANGE(""https://docs.google.com/spreadsheets/d/1xsp01RMmkav9iTy39Zaj_7tE9677EGlOJ14KU9TZn7I/"",""1985-2003!T3522"")"),34.59572336)</f>
        <v>34.595723360000001</v>
      </c>
      <c r="F176" s="71">
        <f ca="1">IFERROR(__xludf.DUMMYFUNCTION("$C170*IMPORTRANGE(""https://docs.google.com/spreadsheets/d/1xsp01RMmkav9iTy39Zaj_7tE9677EGlOJ14KU9TZn7I/"",""1985-2003!AC3522"")"),7364.172541)</f>
        <v>7364.1725409999999</v>
      </c>
      <c r="G176" s="57" t="s">
        <v>8</v>
      </c>
      <c r="H176" s="5"/>
      <c r="I176" s="5"/>
      <c r="J176" s="5"/>
      <c r="K176" s="2"/>
      <c r="L176" s="3"/>
      <c r="M176" s="52"/>
      <c r="N176" s="52"/>
      <c r="O176" s="52"/>
      <c r="P176" s="52"/>
      <c r="Q176" s="2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2" x14ac:dyDescent="0.25">
      <c r="A177" s="76" t="s">
        <v>195</v>
      </c>
      <c r="B177" s="77">
        <v>356</v>
      </c>
      <c r="C177" s="78">
        <f>24409.2/1000</f>
        <v>24.409200000000002</v>
      </c>
      <c r="D177" s="79">
        <f ca="1">IFERROR(__xludf.DUMMYFUNCTION("$C171*IMPORTRANGE(""https://docs.google.com/spreadsheets/d/1xsp01RMmkav9iTy39Zaj_7tE9677EGlOJ14KU9TZn7I/"",""1985-2003!H3546"")"),22.00977564)</f>
        <v>22.009775640000001</v>
      </c>
      <c r="E177" s="79">
        <f ca="1">IFERROR(__xludf.DUMMYFUNCTION("$C171*IMPORTRANGE(""https://docs.google.com/spreadsheets/d/1xsp01RMmkav9iTy39Zaj_7tE9677EGlOJ14KU9TZn7I/"",""1985-2003!T3546"")"),14.72851128)</f>
        <v>14.728511279999999</v>
      </c>
      <c r="F177" s="79">
        <f ca="1">IFERROR(__xludf.DUMMYFUNCTION("$C171*IMPORTRANGE(""https://docs.google.com/spreadsheets/d/1xsp01RMmkav9iTy39Zaj_7tE9677EGlOJ14KU9TZn7I/"",""1985-2003!AC3546"")"),3167.0937)</f>
        <v>3167.0936999999999</v>
      </c>
      <c r="G177" s="76" t="s">
        <v>8</v>
      </c>
      <c r="H177" s="5"/>
      <c r="I177" s="5"/>
      <c r="J177" s="5"/>
      <c r="K177" s="2"/>
      <c r="L177" s="3"/>
      <c r="M177" s="52"/>
      <c r="N177" s="52"/>
      <c r="O177" s="52"/>
      <c r="P177" s="52"/>
      <c r="Q177" s="2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2" x14ac:dyDescent="0.25">
      <c r="A178" s="68">
        <v>1998</v>
      </c>
      <c r="B178" s="69"/>
      <c r="C178" s="70"/>
      <c r="D178" s="70"/>
      <c r="E178" s="70"/>
      <c r="F178" s="70"/>
      <c r="G178" s="68"/>
      <c r="H178" s="5"/>
      <c r="I178" s="5"/>
      <c r="J178" s="5"/>
      <c r="K178" s="2"/>
      <c r="L178" s="3"/>
      <c r="M178" s="52"/>
      <c r="N178" s="52"/>
      <c r="O178" s="52"/>
      <c r="P178" s="52"/>
      <c r="Q178" s="2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2" x14ac:dyDescent="0.25">
      <c r="A179" s="57" t="s">
        <v>196</v>
      </c>
      <c r="B179" s="58">
        <v>188</v>
      </c>
      <c r="C179" s="59">
        <f>22330.3/1000</f>
        <v>22.330299999999998</v>
      </c>
      <c r="D179" s="71">
        <f ca="1">IFERROR(__xludf.DUMMYFUNCTION("$C173*IMPORTRANGE(""https://docs.google.com/spreadsheets/d/1xsp01RMmkav9iTy39Zaj_7tE9677EGlOJ14KU9TZn7I/"",""1985-2003!H3569"")"),20.6823238599999)</f>
        <v>20.682323859999901</v>
      </c>
      <c r="E179" s="71">
        <f ca="1">IFERROR(__xludf.DUMMYFUNCTION("$C173*IMPORTRANGE(""https://docs.google.com/spreadsheets/d/1xsp01RMmkav9iTy39Zaj_7tE9677EGlOJ14KU9TZn7I/"",""1985-2003!T3569"")"),13.6706096599999)</f>
        <v>13.670609659999901</v>
      </c>
      <c r="F179" s="71">
        <f ca="1">IFERROR(__xludf.DUMMYFUNCTION("$C173*IMPORTRANGE(""https://docs.google.com/spreadsheets/d/1xsp01RMmkav9iTy39Zaj_7tE9677EGlOJ14KU9TZn7I/"",""1985-2003!AC3569"")"),2886.19127499999)</f>
        <v>2886.1912749999901</v>
      </c>
      <c r="G179" s="57" t="s">
        <v>8</v>
      </c>
      <c r="H179" s="5"/>
      <c r="I179" s="5"/>
      <c r="J179" s="5"/>
      <c r="K179" s="2"/>
      <c r="L179" s="3"/>
      <c r="M179" s="52"/>
      <c r="N179" s="52"/>
      <c r="O179" s="52"/>
      <c r="P179" s="52"/>
      <c r="Q179" s="2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2" x14ac:dyDescent="0.25">
      <c r="A180" s="72" t="s">
        <v>197</v>
      </c>
      <c r="B180" s="73">
        <v>238</v>
      </c>
      <c r="C180" s="74">
        <f>34157.1/1000</f>
        <v>34.1571</v>
      </c>
      <c r="D180" s="75">
        <f ca="1">IFERROR(__xludf.DUMMYFUNCTION("$C174*IMPORTRANGE(""https://docs.google.com/spreadsheets/d/1xsp01RMmkav9iTy39Zaj_7tE9677EGlOJ14KU9TZn7I/"",""1985-2003!H3590"")"),31.545789705)</f>
        <v>31.545789705000001</v>
      </c>
      <c r="E180" s="75">
        <f ca="1">IFERROR(__xludf.DUMMYFUNCTION("$C174*IMPORTRANGE(""https://docs.google.com/spreadsheets/d/1xsp01RMmkav9iTy39Zaj_7tE9677EGlOJ14KU9TZn7I/"",""1985-2003!T3590"")"),20.8392467099999)</f>
        <v>20.839246709999902</v>
      </c>
      <c r="F180" s="75">
        <f ca="1">IFERROR(__xludf.DUMMYFUNCTION("$C174*IMPORTRANGE(""https://docs.google.com/spreadsheets/d/1xsp01RMmkav9iTy39Zaj_7tE9677EGlOJ14KU9TZn7I/"",""1985-2003!AC3590"")"),4301.403603)</f>
        <v>4301.4036029999997</v>
      </c>
      <c r="G180" s="72" t="s">
        <v>8</v>
      </c>
      <c r="H180" s="5"/>
      <c r="I180" s="5"/>
      <c r="J180" s="5"/>
      <c r="K180" s="2"/>
      <c r="L180" s="3"/>
      <c r="M180" s="52"/>
      <c r="N180" s="52"/>
      <c r="O180" s="52"/>
      <c r="P180" s="52"/>
      <c r="Q180" s="2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2" x14ac:dyDescent="0.25">
      <c r="A181" s="57" t="s">
        <v>198</v>
      </c>
      <c r="B181" s="58">
        <v>347</v>
      </c>
      <c r="C181" s="59">
        <f>58746.5/1000</f>
        <v>58.746499999999997</v>
      </c>
      <c r="D181" s="71">
        <f ca="1">IFERROR(__xludf.DUMMYFUNCTION("$C175*IMPORTRANGE(""https://docs.google.com/spreadsheets/d/1xsp01RMmkav9iTy39Zaj_7tE9677EGlOJ14KU9TZn7I/"",""1985-2003!H3613"")"),54.47562945)</f>
        <v>54.47562945</v>
      </c>
      <c r="E181" s="71">
        <f ca="1">IFERROR(__xludf.DUMMYFUNCTION("$C175*IMPORTRANGE(""https://docs.google.com/spreadsheets/d/1xsp01RMmkav9iTy39Zaj_7tE9677EGlOJ14KU9TZn7I/"",""1985-2003!T3613"")"),35.244962675)</f>
        <v>35.244962674999996</v>
      </c>
      <c r="F181" s="71">
        <f ca="1">IFERROR(__xludf.DUMMYFUNCTION("$C175*IMPORTRANGE(""https://docs.google.com/spreadsheets/d/1xsp01RMmkav9iTy39Zaj_7tE9677EGlOJ14KU9TZn7I/"",""1985-2003!AC3613"")"),7577.12357)</f>
        <v>7577.1235699999997</v>
      </c>
      <c r="G181" s="57" t="s">
        <v>8</v>
      </c>
      <c r="H181" s="5"/>
      <c r="I181" s="5"/>
      <c r="J181" s="5"/>
      <c r="K181" s="2"/>
      <c r="L181" s="3"/>
      <c r="M181" s="52"/>
      <c r="N181" s="52"/>
      <c r="O181" s="52"/>
      <c r="P181" s="52"/>
      <c r="Q181" s="2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2" x14ac:dyDescent="0.25">
      <c r="A182" s="72" t="s">
        <v>199</v>
      </c>
      <c r="B182" s="73">
        <v>296</v>
      </c>
      <c r="C182" s="74">
        <f>222854.4/1000</f>
        <v>222.8544</v>
      </c>
      <c r="D182" s="75">
        <f ca="1">IFERROR(__xludf.DUMMYFUNCTION("$C176*IMPORTRANGE(""https://docs.google.com/spreadsheets/d/1xsp01RMmkav9iTy39Zaj_7tE9677EGlOJ14KU9TZn7I/"",""1985-2003!H3636"")"),204.023203199999)</f>
        <v>204.02320319999899</v>
      </c>
      <c r="E182" s="75">
        <f ca="1">IFERROR(__xludf.DUMMYFUNCTION("$C176*IMPORTRANGE(""https://docs.google.com/spreadsheets/d/1xsp01RMmkav9iTy39Zaj_7tE9677EGlOJ14KU9TZn7I/"",""1985-2003!T3636"")"),133.31150208)</f>
        <v>133.31150208</v>
      </c>
      <c r="F182" s="75">
        <f ca="1">IFERROR(__xludf.DUMMYFUNCTION("$C176*IMPORTRANGE(""https://docs.google.com/spreadsheets/d/1xsp01RMmkav9iTy39Zaj_7tE9677EGlOJ14KU9TZn7I/"",""1985-2003!AC3636"")"),29364.4100159999)</f>
        <v>29364.4100159999</v>
      </c>
      <c r="G182" s="72" t="s">
        <v>8</v>
      </c>
      <c r="H182" s="5"/>
      <c r="I182" s="5"/>
      <c r="J182" s="5"/>
      <c r="K182" s="2"/>
      <c r="L182" s="3"/>
      <c r="M182" s="52"/>
      <c r="N182" s="52"/>
      <c r="O182" s="52"/>
      <c r="P182" s="52"/>
      <c r="Q182" s="2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2" x14ac:dyDescent="0.25">
      <c r="A183" s="57" t="s">
        <v>200</v>
      </c>
      <c r="B183" s="58">
        <v>291</v>
      </c>
      <c r="C183" s="59">
        <f>165872.2/1000</f>
        <v>165.87220000000002</v>
      </c>
      <c r="D183" s="71">
        <f ca="1">IFERROR(__xludf.DUMMYFUNCTION("$C177*IMPORTRANGE(""https://docs.google.com/spreadsheets/d/1xsp01RMmkav9iTy39Zaj_7tE9677EGlOJ14KU9TZn7I/"",""1985-2003!H3658"")"),150.14751544)</f>
        <v>150.14751544000001</v>
      </c>
      <c r="E183" s="71">
        <f ca="1">IFERROR(__xludf.DUMMYFUNCTION("$C177*IMPORTRANGE(""https://docs.google.com/spreadsheets/d/1xsp01RMmkav9iTy39Zaj_7tE9677EGlOJ14KU9TZn7I/"",""1985-2003!T3658"")"),101.66307138)</f>
        <v>101.66307138000001</v>
      </c>
      <c r="F183" s="71">
        <f ca="1">IFERROR(__xludf.DUMMYFUNCTION("$C177*IMPORTRANGE(""https://docs.google.com/spreadsheets/d/1xsp01RMmkav9iTy39Zaj_7tE9677EGlOJ14KU9TZn7I/"",""1985-2003!AC3658"")"),22304.834734)</f>
        <v>22304.834734</v>
      </c>
      <c r="G183" s="57" t="s">
        <v>8</v>
      </c>
      <c r="H183" s="5"/>
      <c r="I183" s="5"/>
      <c r="J183" s="5"/>
      <c r="K183" s="2"/>
      <c r="L183" s="3"/>
      <c r="M183" s="52"/>
      <c r="N183" s="52"/>
      <c r="O183" s="52"/>
      <c r="P183" s="52"/>
      <c r="Q183" s="2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2" x14ac:dyDescent="0.25">
      <c r="A184" s="72" t="s">
        <v>201</v>
      </c>
      <c r="B184" s="73">
        <v>633</v>
      </c>
      <c r="C184" s="74">
        <f>82122/1000</f>
        <v>82.122</v>
      </c>
      <c r="D184" s="75">
        <f ca="1">IFERROR(__xludf.DUMMYFUNCTION("$C178*IMPORTRANGE(""https://docs.google.com/spreadsheets/d/1xsp01RMmkav9iTy39Zaj_7tE9677EGlOJ14KU9TZn7I/"",""1985-2003!H3681"")"),74.9199006)</f>
        <v>74.919900600000005</v>
      </c>
      <c r="E184" s="75">
        <f ca="1">IFERROR(__xludf.DUMMYFUNCTION("$C178*IMPORTRANGE(""https://docs.google.com/spreadsheets/d/1xsp01RMmkav9iTy39Zaj_7tE9677EGlOJ14KU9TZn7I/"",""1985-2003!T3681"")"),49.9014333)</f>
        <v>49.901433300000001</v>
      </c>
      <c r="F184" s="75">
        <f ca="1">IFERROR(__xludf.DUMMYFUNCTION("$C178*IMPORTRANGE(""https://docs.google.com/spreadsheets/d/1xsp01RMmkav9iTy39Zaj_7tE9677EGlOJ14KU9TZn7I/"",""1985-2003!AC3681"")"),11501.1861)</f>
        <v>11501.186100000001</v>
      </c>
      <c r="G184" s="72" t="s">
        <v>8</v>
      </c>
      <c r="H184" s="5"/>
      <c r="I184" s="5"/>
      <c r="J184" s="5"/>
      <c r="K184" s="2"/>
      <c r="L184" s="3"/>
      <c r="M184" s="52"/>
      <c r="N184" s="52"/>
      <c r="O184" s="52"/>
      <c r="P184" s="52"/>
      <c r="Q184" s="2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2" x14ac:dyDescent="0.25">
      <c r="A185" s="57" t="s">
        <v>202</v>
      </c>
      <c r="B185" s="58">
        <v>339</v>
      </c>
      <c r="C185" s="59">
        <f>60275.1/1000</f>
        <v>60.275100000000002</v>
      </c>
      <c r="D185" s="71">
        <f ca="1">IFERROR(__xludf.DUMMYFUNCTION("$C179*IMPORTRANGE(""https://docs.google.com/spreadsheets/d/1xsp01RMmkav9iTy39Zaj_7tE9677EGlOJ14KU9TZn7I/"",""1985-2003!H3705"")"),54.89856108)</f>
        <v>54.89856108</v>
      </c>
      <c r="E185" s="71">
        <f ca="1">IFERROR(__xludf.DUMMYFUNCTION("$C179*IMPORTRANGE(""https://docs.google.com/spreadsheets/d/1xsp01RMmkav9iTy39Zaj_7tE9677EGlOJ14KU9TZn7I/"",""1985-2003!T3705"")"),36.70150839)</f>
        <v>36.701508390000001</v>
      </c>
      <c r="F185" s="71">
        <f ca="1">IFERROR(__xludf.DUMMYFUNCTION("$C179*IMPORTRANGE(""https://docs.google.com/spreadsheets/d/1xsp01RMmkav9iTy39Zaj_7tE9677EGlOJ14KU9TZn7I/"",""1985-2003!AC3705"")"),8481.912072)</f>
        <v>8481.9120719999992</v>
      </c>
      <c r="G185" s="57" t="s">
        <v>8</v>
      </c>
      <c r="H185" s="5"/>
      <c r="I185" s="5"/>
      <c r="J185" s="5"/>
      <c r="K185" s="2"/>
      <c r="L185" s="3"/>
      <c r="M185" s="52"/>
      <c r="N185" s="52"/>
      <c r="O185" s="52"/>
      <c r="P185" s="52"/>
      <c r="Q185" s="2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2" x14ac:dyDescent="0.25">
      <c r="A186" s="72" t="s">
        <v>203</v>
      </c>
      <c r="B186" s="81">
        <v>282</v>
      </c>
      <c r="C186" s="74">
        <f>104396.4/1000</f>
        <v>104.3964</v>
      </c>
      <c r="D186" s="75">
        <f ca="1">IFERROR(__xludf.DUMMYFUNCTION("$C180*IMPORTRANGE(""https://docs.google.com/spreadsheets/d/1xsp01RMmkav9iTy39Zaj_7tE9677EGlOJ14KU9TZn7I/"",""1985-2003!H3727"")"),95.14165914)</f>
        <v>95.141659140000002</v>
      </c>
      <c r="E186" s="75">
        <f ca="1">IFERROR(__xludf.DUMMYFUNCTION("$C180*IMPORTRANGE(""https://docs.google.com/spreadsheets/d/1xsp01RMmkav9iTy39Zaj_7tE9677EGlOJ14KU9TZn7I/"",""1985-2003!T3727"")"),63.96367428)</f>
        <v>63.963674279999999</v>
      </c>
      <c r="F186" s="75">
        <f ca="1">IFERROR(__xludf.DUMMYFUNCTION("$C180*IMPORTRANGE(""https://docs.google.com/spreadsheets/d/1xsp01RMmkav9iTy39Zaj_7tE9677EGlOJ14KU9TZn7I/"",""1985-2003!AC3727"")"),15096.763404)</f>
        <v>15096.763403999999</v>
      </c>
      <c r="G186" s="72" t="s">
        <v>8</v>
      </c>
      <c r="H186" s="5"/>
      <c r="I186" s="5"/>
      <c r="J186" s="5"/>
      <c r="K186" s="2"/>
      <c r="L186" s="3"/>
      <c r="M186" s="52"/>
      <c r="N186" s="52"/>
      <c r="O186" s="52"/>
      <c r="P186" s="52"/>
      <c r="Q186" s="2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2" x14ac:dyDescent="0.25">
      <c r="A187" s="57" t="s">
        <v>204</v>
      </c>
      <c r="B187" s="58">
        <v>267</v>
      </c>
      <c r="C187" s="59">
        <f>15591/1000</f>
        <v>15.590999999999999</v>
      </c>
      <c r="D187" s="71">
        <f ca="1">IFERROR(__xludf.DUMMYFUNCTION("$C181*IMPORTRANGE(""https://docs.google.com/spreadsheets/d/1xsp01RMmkav9iTy39Zaj_7tE9677EGlOJ14KU9TZn7I/"",""1985-2003!H3750"")"),13.4448988499999)</f>
        <v>13.4448988499999</v>
      </c>
      <c r="E187" s="71">
        <f ca="1">IFERROR(__xludf.DUMMYFUNCTION("$C181*IMPORTRANGE(""https://docs.google.com/spreadsheets/d/1xsp01RMmkav9iTy39Zaj_7tE9677EGlOJ14KU9TZn7I/"",""1985-2003!T3750"")"),9.27898365)</f>
        <v>9.2789836500000007</v>
      </c>
      <c r="F187" s="71">
        <f ca="1">IFERROR(__xludf.DUMMYFUNCTION("$C181*IMPORTRANGE(""https://docs.google.com/spreadsheets/d/1xsp01RMmkav9iTy39Zaj_7tE9677EGlOJ14KU9TZn7I/"",""1985-2003!AC3750"")"),2096.599725)</f>
        <v>2096.599725</v>
      </c>
      <c r="G187" s="57" t="s">
        <v>8</v>
      </c>
      <c r="H187" s="5"/>
      <c r="I187" s="5"/>
      <c r="J187" s="5"/>
      <c r="K187" s="2"/>
      <c r="L187" s="3"/>
      <c r="M187" s="52"/>
      <c r="N187" s="52"/>
      <c r="O187" s="52"/>
      <c r="P187" s="52"/>
      <c r="Q187" s="2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2" x14ac:dyDescent="0.25">
      <c r="A188" s="72" t="s">
        <v>205</v>
      </c>
      <c r="B188" s="73">
        <v>284</v>
      </c>
      <c r="C188" s="74">
        <f>35725.4/1000</f>
        <v>35.7254</v>
      </c>
      <c r="D188" s="75">
        <f ca="1">IFERROR(__xludf.DUMMYFUNCTION("$C182*IMPORTRANGE(""https://docs.google.com/spreadsheets/d/1xsp01RMmkav9iTy39Zaj_7tE9677EGlOJ14KU9TZn7I/"",""1985-2003!H3773"")"),29.84499916)</f>
        <v>29.84499916</v>
      </c>
      <c r="E188" s="75">
        <f ca="1">IFERROR(__xludf.DUMMYFUNCTION("$C182*IMPORTRANGE(""https://docs.google.com/spreadsheets/d/1xsp01RMmkav9iTy39Zaj_7tE9677EGlOJ14KU9TZn7I/"",""1985-2003!T3773"")"),21.04047433)</f>
        <v>21.040474329999999</v>
      </c>
      <c r="F188" s="75">
        <f ca="1">IFERROR(__xludf.DUMMYFUNCTION("$C182*IMPORTRANGE(""https://docs.google.com/spreadsheets/d/1xsp01RMmkav9iTy39Zaj_7tE9677EGlOJ14KU9TZn7I/"",""1985-2003!AC3773"")"),4216.133081)</f>
        <v>4216.1330809999999</v>
      </c>
      <c r="G188" s="72" t="s">
        <v>8</v>
      </c>
      <c r="H188" s="5"/>
      <c r="I188" s="5"/>
      <c r="J188" s="5"/>
      <c r="K188" s="2"/>
      <c r="L188" s="3"/>
      <c r="M188" s="52"/>
      <c r="N188" s="52"/>
      <c r="O188" s="52"/>
      <c r="P188" s="52"/>
      <c r="Q188" s="2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2" x14ac:dyDescent="0.25">
      <c r="A189" s="57" t="s">
        <v>206</v>
      </c>
      <c r="B189" s="58">
        <v>218</v>
      </c>
      <c r="C189" s="59">
        <f>23402.4/1000</f>
        <v>23.4024</v>
      </c>
      <c r="D189" s="71">
        <f ca="1">IFERROR(__xludf.DUMMYFUNCTION("$C183*IMPORTRANGE(""https://docs.google.com/spreadsheets/d/1xsp01RMmkav9iTy39Zaj_7tE9677EGlOJ14KU9TZn7I/"",""1985-2003!H3795"")"),20.08627992)</f>
        <v>20.086279919999999</v>
      </c>
      <c r="E189" s="71">
        <f ca="1">IFERROR(__xludf.DUMMYFUNCTION("$C183*IMPORTRANGE(""https://docs.google.com/spreadsheets/d/1xsp01RMmkav9iTy39Zaj_7tE9677EGlOJ14KU9TZn7I/"",""1985-2003!T3795"")"),14.0882448)</f>
        <v>14.0882448</v>
      </c>
      <c r="F189" s="71">
        <f ca="1">IFERROR(__xludf.DUMMYFUNCTION("$C183*IMPORTRANGE(""https://docs.google.com/spreadsheets/d/1xsp01RMmkav9iTy39Zaj_7tE9677EGlOJ14KU9TZn7I/"",""1985-2003!AC3795"")"),2834.498688)</f>
        <v>2834.4986880000001</v>
      </c>
      <c r="G189" s="57" t="s">
        <v>8</v>
      </c>
      <c r="H189" s="5"/>
      <c r="I189" s="5"/>
      <c r="J189" s="5"/>
      <c r="K189" s="2"/>
      <c r="L189" s="3"/>
      <c r="M189" s="52"/>
      <c r="N189" s="52"/>
      <c r="O189" s="52"/>
      <c r="P189" s="52"/>
      <c r="Q189" s="2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2" x14ac:dyDescent="0.25">
      <c r="A190" s="76" t="s">
        <v>207</v>
      </c>
      <c r="B190" s="77">
        <v>579</v>
      </c>
      <c r="C190" s="78">
        <f>137659.3/1000</f>
        <v>137.6593</v>
      </c>
      <c r="D190" s="79">
        <f ca="1">IFERROR(__xludf.DUMMYFUNCTION("$C184*IMPORTRANGE(""https://docs.google.com/spreadsheets/d/1xsp01RMmkav9iTy39Zaj_7tE9677EGlOJ14KU9TZn7I/"",""1985-2003!H3819"")"),117.43714883)</f>
        <v>117.43714883</v>
      </c>
      <c r="E190" s="79">
        <f ca="1">IFERROR(__xludf.DUMMYFUNCTION("$C184*IMPORTRANGE(""https://docs.google.com/spreadsheets/d/1xsp01RMmkav9iTy39Zaj_7tE9677EGlOJ14KU9TZn7I/"",""1985-2003!T3819"")"),82.29272954)</f>
        <v>82.292729539999996</v>
      </c>
      <c r="F190" s="79">
        <f ca="1">IFERROR(__xludf.DUMMYFUNCTION("$C184*IMPORTRANGE(""https://docs.google.com/spreadsheets/d/1xsp01RMmkav9iTy39Zaj_7tE9677EGlOJ14KU9TZn7I/"",""1985-2003!AC3819"")"),16046.944601)</f>
        <v>16046.944600999999</v>
      </c>
      <c r="G190" s="76" t="s">
        <v>8</v>
      </c>
      <c r="H190" s="5"/>
      <c r="I190" s="5"/>
      <c r="J190" s="5"/>
      <c r="K190" s="2"/>
      <c r="L190" s="3"/>
      <c r="M190" s="52"/>
      <c r="N190" s="52"/>
      <c r="O190" s="52"/>
      <c r="P190" s="52"/>
      <c r="Q190" s="2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2" x14ac:dyDescent="0.25">
      <c r="A191" s="68">
        <v>1999</v>
      </c>
      <c r="B191" s="69"/>
      <c r="C191" s="70"/>
      <c r="D191" s="70"/>
      <c r="E191" s="70"/>
      <c r="F191" s="70"/>
      <c r="G191" s="68"/>
      <c r="H191" s="5"/>
      <c r="I191" s="5"/>
      <c r="J191" s="5"/>
      <c r="K191" s="2"/>
      <c r="L191" s="3"/>
      <c r="M191" s="52"/>
      <c r="N191" s="52"/>
      <c r="O191" s="52"/>
      <c r="P191" s="52"/>
      <c r="Q191" s="2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2" x14ac:dyDescent="0.25">
      <c r="A192" s="57" t="s">
        <v>208</v>
      </c>
      <c r="B192" s="58">
        <v>314</v>
      </c>
      <c r="C192" s="59">
        <f>41551.5/1000</f>
        <v>41.551499999999997</v>
      </c>
      <c r="D192" s="71">
        <f ca="1">IFERROR(__xludf.DUMMYFUNCTION("$C186*IMPORTRANGE(""https://docs.google.com/spreadsheets/d/1xsp01RMmkav9iTy39Zaj_7tE9677EGlOJ14KU9TZn7I/"",""1985-2003!H3841"")"),35.873487525)</f>
        <v>35.873487525000002</v>
      </c>
      <c r="E192" s="71">
        <f ca="1">IFERROR(__xludf.DUMMYFUNCTION("$C186*IMPORTRANGE(""https://docs.google.com/spreadsheets/d/1xsp01RMmkav9iTy39Zaj_7tE9677EGlOJ14KU9TZn7I/"",""1985-2003!T3841"")"),25.15943325)</f>
        <v>25.159433249999999</v>
      </c>
      <c r="F192" s="71">
        <f ca="1">IFERROR(__xludf.DUMMYFUNCTION("$C186*IMPORTRANGE(""https://docs.google.com/spreadsheets/d/1xsp01RMmkav9iTy39Zaj_7tE9677EGlOJ14KU9TZn7I/"",""1985-2003!AC3841"")"),4717.5495525)</f>
        <v>4717.5495524999997</v>
      </c>
      <c r="G192" s="57" t="s">
        <v>8</v>
      </c>
      <c r="H192" s="5"/>
      <c r="I192" s="5"/>
      <c r="J192" s="5"/>
      <c r="K192" s="2"/>
      <c r="L192" s="3"/>
      <c r="M192" s="52"/>
      <c r="N192" s="52"/>
      <c r="O192" s="52"/>
      <c r="P192" s="52"/>
      <c r="Q192" s="2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2" x14ac:dyDescent="0.25">
      <c r="A193" s="72" t="s">
        <v>209</v>
      </c>
      <c r="B193" s="73">
        <v>324</v>
      </c>
      <c r="C193" s="74">
        <f>39097.1/1000</f>
        <v>39.097099999999998</v>
      </c>
      <c r="D193" s="75">
        <f ca="1">IFERROR(__xludf.DUMMYFUNCTION("$C187*IMPORTRANGE(""https://docs.google.com/spreadsheets/d/1xsp01RMmkav9iTy39Zaj_7tE9677EGlOJ14KU9TZn7I/"",""1985-2003!H3862"")"),34.798373855)</f>
        <v>34.798373855000001</v>
      </c>
      <c r="E193" s="75">
        <f ca="1">IFERROR(__xludf.DUMMYFUNCTION("$C187*IMPORTRANGE(""https://docs.google.com/spreadsheets/d/1xsp01RMmkav9iTy39Zaj_7tE9677EGlOJ14KU9TZn7I/"",""1985-2003!T3862"")"),23.95088346)</f>
        <v>23.95088346</v>
      </c>
      <c r="F193" s="75">
        <f ca="1">IFERROR(__xludf.DUMMYFUNCTION("$C187*IMPORTRANGE(""https://docs.google.com/spreadsheets/d/1xsp01RMmkav9iTy39Zaj_7tE9677EGlOJ14KU9TZn7I/"",""1985-2003!AC3862"")"),4506.52723149999)</f>
        <v>4506.5272314999902</v>
      </c>
      <c r="G193" s="72" t="s">
        <v>8</v>
      </c>
      <c r="H193" s="5"/>
      <c r="I193" s="5"/>
      <c r="J193" s="5"/>
      <c r="K193" s="2"/>
      <c r="L193" s="3"/>
      <c r="M193" s="52"/>
      <c r="N193" s="52"/>
      <c r="O193" s="52"/>
      <c r="P193" s="52"/>
      <c r="Q193" s="2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2" x14ac:dyDescent="0.25">
      <c r="A194" s="57" t="s">
        <v>210</v>
      </c>
      <c r="B194" s="58">
        <v>398</v>
      </c>
      <c r="C194" s="59">
        <f>67229.6/1000</f>
        <v>67.229600000000005</v>
      </c>
      <c r="D194" s="71">
        <f ca="1">IFERROR(__xludf.DUMMYFUNCTION("$C188*IMPORTRANGE(""https://docs.google.com/spreadsheets/d/1xsp01RMmkav9iTy39Zaj_7tE9677EGlOJ14KU9TZn7I/"",""1985-2003!H3886"")"),61.73694168)</f>
        <v>61.736941680000001</v>
      </c>
      <c r="E194" s="71">
        <f ca="1">IFERROR(__xludf.DUMMYFUNCTION("$C188*IMPORTRANGE(""https://docs.google.com/spreadsheets/d/1xsp01RMmkav9iTy39Zaj_7tE9677EGlOJ14KU9TZn7I/"",""1985-2003!T3886"")"),41.4470484)</f>
        <v>41.4470484</v>
      </c>
      <c r="F194" s="71">
        <f ca="1">IFERROR(__xludf.DUMMYFUNCTION("$C188*IMPORTRANGE(""https://docs.google.com/spreadsheets/d/1xsp01RMmkav9iTy39Zaj_7tE9677EGlOJ14KU9TZn7I/"",""1985-2003!AC3886"")"),8010.40684)</f>
        <v>8010.4068399999996</v>
      </c>
      <c r="G194" s="57" t="s">
        <v>8</v>
      </c>
      <c r="H194" s="5"/>
      <c r="I194" s="5"/>
      <c r="J194" s="5"/>
      <c r="K194" s="2"/>
      <c r="L194" s="3"/>
      <c r="M194" s="52"/>
      <c r="N194" s="52"/>
      <c r="O194" s="52"/>
      <c r="P194" s="52"/>
      <c r="Q194" s="2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2" x14ac:dyDescent="0.25">
      <c r="A195" s="72" t="s">
        <v>211</v>
      </c>
      <c r="B195" s="73">
        <v>365</v>
      </c>
      <c r="C195" s="74">
        <f>153285.5/1000</f>
        <v>153.28550000000001</v>
      </c>
      <c r="D195" s="75">
        <f ca="1">IFERROR(__xludf.DUMMYFUNCTION("$C189*IMPORTRANGE(""https://docs.google.com/spreadsheets/d/1xsp01RMmkav9iTy39Zaj_7tE9677EGlOJ14KU9TZn7I/"",""1985-2003!H3909"")"),143.168657)</f>
        <v>143.168657</v>
      </c>
      <c r="E195" s="75">
        <f ca="1">IFERROR(__xludf.DUMMYFUNCTION("$C189*IMPORTRANGE(""https://docs.google.com/spreadsheets/d/1xsp01RMmkav9iTy39Zaj_7tE9677EGlOJ14KU9TZn7I/"",""1985-2003!T3909"")"),95.105988475)</f>
        <v>95.105988475000004</v>
      </c>
      <c r="F195" s="75">
        <f ca="1">IFERROR(__xludf.DUMMYFUNCTION("$C189*IMPORTRANGE(""https://docs.google.com/spreadsheets/d/1xsp01RMmkav9iTy39Zaj_7tE9677EGlOJ14KU9TZn7I/"",""1985-2003!AC3909"")"),18335.2450825)</f>
        <v>18335.245082500001</v>
      </c>
      <c r="G195" s="72" t="s">
        <v>8</v>
      </c>
      <c r="H195" s="5"/>
      <c r="I195" s="5"/>
      <c r="J195" s="5"/>
      <c r="K195" s="2"/>
      <c r="L195" s="3"/>
      <c r="M195" s="52"/>
      <c r="N195" s="52"/>
      <c r="O195" s="52"/>
      <c r="P195" s="52"/>
      <c r="Q195" s="2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2" x14ac:dyDescent="0.25">
      <c r="A196" s="57" t="s">
        <v>212</v>
      </c>
      <c r="B196" s="58">
        <v>394</v>
      </c>
      <c r="C196" s="59">
        <f>103554.7/1000</f>
        <v>103.5547</v>
      </c>
      <c r="D196" s="71">
        <f ca="1">IFERROR(__xludf.DUMMYFUNCTION("$C190*IMPORTRANGE(""https://docs.google.com/spreadsheets/d/1xsp01RMmkav9iTy39Zaj_7tE9677EGlOJ14KU9TZn7I/"",""1985-2003!H3931"")"),97.22750783)</f>
        <v>97.227507829999993</v>
      </c>
      <c r="E196" s="71">
        <f ca="1">IFERROR(__xludf.DUMMYFUNCTION("$C190*IMPORTRANGE(""https://docs.google.com/spreadsheets/d/1xsp01RMmkav9iTy39Zaj_7tE9677EGlOJ14KU9TZn7I/"",""1985-2003!T3931"")"),63.97609366)</f>
        <v>63.976093659999997</v>
      </c>
      <c r="F196" s="71">
        <f ca="1">IFERROR(__xludf.DUMMYFUNCTION("$C190*IMPORTRANGE(""https://docs.google.com/spreadsheets/d/1xsp01RMmkav9iTy39Zaj_7tE9677EGlOJ14KU9TZn7I/"",""1985-2003!AC3931"")"),12583.9671439999)</f>
        <v>12583.9671439999</v>
      </c>
      <c r="G196" s="57" t="s">
        <v>8</v>
      </c>
      <c r="H196" s="5"/>
      <c r="I196" s="5"/>
      <c r="J196" s="5"/>
      <c r="K196" s="2"/>
      <c r="L196" s="3"/>
      <c r="M196" s="52"/>
      <c r="N196" s="52"/>
      <c r="O196" s="52"/>
      <c r="P196" s="52"/>
      <c r="Q196" s="2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2" x14ac:dyDescent="0.25">
      <c r="A197" s="72" t="s">
        <v>213</v>
      </c>
      <c r="B197" s="73">
        <v>581</v>
      </c>
      <c r="C197" s="74">
        <f>73381.7/1000</f>
        <v>73.381699999999995</v>
      </c>
      <c r="D197" s="75">
        <f ca="1">IFERROR(__xludf.DUMMYFUNCTION("$C191*IMPORTRANGE(""https://docs.google.com/spreadsheets/d/1xsp01RMmkav9iTy39Zaj_7tE9677EGlOJ14KU9TZn7I/"",""1985-2003!H3954"")"),70.77664965)</f>
        <v>70.776649649999996</v>
      </c>
      <c r="E197" s="75">
        <f ca="1">IFERROR(__xludf.DUMMYFUNCTION("$C191*IMPORTRANGE(""https://docs.google.com/spreadsheets/d/1xsp01RMmkav9iTy39Zaj_7tE9677EGlOJ14KU9TZn7I/"",""1985-2003!T3954"")"),46.0250022399999)</f>
        <v>46.0250022399999</v>
      </c>
      <c r="F197" s="75">
        <f ca="1">IFERROR(__xludf.DUMMYFUNCTION("$C191*IMPORTRANGE(""https://docs.google.com/spreadsheets/d/1xsp01RMmkav9iTy39Zaj_7tE9677EGlOJ14KU9TZn7I/"",""1985-2003!AC3954"")"),8871.48062149999)</f>
        <v>8871.4806214999899</v>
      </c>
      <c r="G197" s="72" t="s">
        <v>8</v>
      </c>
      <c r="H197" s="5"/>
      <c r="I197" s="5"/>
      <c r="J197" s="5"/>
      <c r="K197" s="2"/>
      <c r="L197" s="3"/>
      <c r="M197" s="52"/>
      <c r="N197" s="52"/>
      <c r="O197" s="52"/>
      <c r="P197" s="52"/>
      <c r="Q197" s="2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2" x14ac:dyDescent="0.25">
      <c r="A198" s="57" t="s">
        <v>214</v>
      </c>
      <c r="B198" s="58">
        <v>391</v>
      </c>
      <c r="C198" s="59">
        <f>43667.8/1000</f>
        <v>43.6678</v>
      </c>
      <c r="D198" s="71">
        <f ca="1">IFERROR(__xludf.DUMMYFUNCTION("$C192*IMPORTRANGE(""https://docs.google.com/spreadsheets/d/1xsp01RMmkav9iTy39Zaj_7tE9677EGlOJ14KU9TZn7I/"",""1985-2003!H3977"")"),42.63068975)</f>
        <v>42.630689750000002</v>
      </c>
      <c r="E198" s="71">
        <f ca="1">IFERROR(__xludf.DUMMYFUNCTION("$C192*IMPORTRANGE(""https://docs.google.com/spreadsheets/d/1xsp01RMmkav9iTy39Zaj_7tE9677EGlOJ14KU9TZn7I/"",""1985-2003!T3977"")"),27.7596204599999)</f>
        <v>27.759620459999901</v>
      </c>
      <c r="F198" s="71">
        <f ca="1">IFERROR(__xludf.DUMMYFUNCTION("$C192*IMPORTRANGE(""https://docs.google.com/spreadsheets/d/1xsp01RMmkav9iTy39Zaj_7tE9677EGlOJ14KU9TZn7I/"",""1985-2003!AC3977"")"),5273.541867)</f>
        <v>5273.5418669999999</v>
      </c>
      <c r="G198" s="57" t="s">
        <v>8</v>
      </c>
      <c r="H198" s="5"/>
      <c r="I198" s="5"/>
      <c r="J198" s="5"/>
      <c r="K198" s="2"/>
      <c r="L198" s="3"/>
      <c r="M198" s="52"/>
      <c r="N198" s="52"/>
      <c r="O198" s="52"/>
      <c r="P198" s="52"/>
      <c r="Q198" s="2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2" x14ac:dyDescent="0.25">
      <c r="A199" s="72" t="s">
        <v>215</v>
      </c>
      <c r="B199" s="73">
        <v>384</v>
      </c>
      <c r="C199" s="74">
        <f>72416.3/1000</f>
        <v>72.416300000000007</v>
      </c>
      <c r="D199" s="75">
        <f ca="1">IFERROR(__xludf.DUMMYFUNCTION("$C193*IMPORTRANGE(""https://docs.google.com/spreadsheets/d/1xsp01RMmkav9iTy39Zaj_7tE9677EGlOJ14KU9TZn7I/"",""1985-2003!H4000"")"),68.234258675)</f>
        <v>68.234258675000007</v>
      </c>
      <c r="E199" s="75">
        <f ca="1">IFERROR(__xludf.DUMMYFUNCTION("$C193*IMPORTRANGE(""https://docs.google.com/spreadsheets/d/1xsp01RMmkav9iTy39Zaj_7tE9677EGlOJ14KU9TZn7I/"",""1985-2003!T4000"")"),45.09363001)</f>
        <v>45.093630009999998</v>
      </c>
      <c r="F199" s="75">
        <f ca="1">IFERROR(__xludf.DUMMYFUNCTION("$C193*IMPORTRANGE(""https://docs.google.com/spreadsheets/d/1xsp01RMmkav9iTy39Zaj_7tE9677EGlOJ14KU9TZn7I/"",""1985-2003!AC4000"")"),8262.69983)</f>
        <v>8262.6998299999996</v>
      </c>
      <c r="G199" s="72" t="s">
        <v>8</v>
      </c>
      <c r="H199" s="5"/>
      <c r="I199" s="5"/>
      <c r="J199" s="5"/>
      <c r="K199" s="2"/>
      <c r="L199" s="3"/>
      <c r="M199" s="52"/>
      <c r="N199" s="52"/>
      <c r="O199" s="52"/>
      <c r="P199" s="52"/>
      <c r="Q199" s="2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2" x14ac:dyDescent="0.25">
      <c r="A200" s="57" t="s">
        <v>216</v>
      </c>
      <c r="B200" s="58">
        <v>351</v>
      </c>
      <c r="C200" s="59">
        <f>66348.2/1000</f>
        <v>66.348199999999991</v>
      </c>
      <c r="D200" s="71">
        <f ca="1">IFERROR(__xludf.DUMMYFUNCTION("$C194*IMPORTRANGE(""https://docs.google.com/spreadsheets/d/1xsp01RMmkav9iTy39Zaj_7tE9677EGlOJ14KU9TZn7I/"",""1985-2003!H4023"")"),63.1966604999999)</f>
        <v>63.196660499999901</v>
      </c>
      <c r="E200" s="71">
        <f ca="1">IFERROR(__xludf.DUMMYFUNCTION("$C194*IMPORTRANGE(""https://docs.google.com/spreadsheets/d/1xsp01RMmkav9iTy39Zaj_7tE9677EGlOJ14KU9TZn7I/"",""1985-2003!T4023"")"),40.89703048)</f>
        <v>40.897030479999998</v>
      </c>
      <c r="F200" s="71">
        <f ca="1">IFERROR(__xludf.DUMMYFUNCTION("$C194*IMPORTRANGE(""https://docs.google.com/spreadsheets/d/1xsp01RMmkav9iTy39Zaj_7tE9677EGlOJ14KU9TZn7I/"",""1985-2003!AC4023"")"),7071.059415)</f>
        <v>7071.0594149999997</v>
      </c>
      <c r="G200" s="57" t="s">
        <v>8</v>
      </c>
      <c r="H200" s="5"/>
      <c r="I200" s="5"/>
      <c r="J200" s="5"/>
      <c r="K200" s="2"/>
      <c r="L200" s="3"/>
      <c r="M200" s="52"/>
      <c r="N200" s="52"/>
      <c r="O200" s="52"/>
      <c r="P200" s="52"/>
      <c r="Q200" s="2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2" x14ac:dyDescent="0.25">
      <c r="A201" s="72" t="s">
        <v>217</v>
      </c>
      <c r="B201" s="73">
        <v>358</v>
      </c>
      <c r="C201" s="74">
        <f>95059.3/1000</f>
        <v>95.059300000000007</v>
      </c>
      <c r="D201" s="75">
        <f ca="1">IFERROR(__xludf.DUMMYFUNCTION("$C195*IMPORTRANGE(""https://docs.google.com/spreadsheets/d/1xsp01RMmkav9iTy39Zaj_7tE9677EGlOJ14KU9TZn7I/"",""1985-2003!H4045"")"),88.66180911)</f>
        <v>88.661809109999993</v>
      </c>
      <c r="E201" s="75">
        <f ca="1">IFERROR(__xludf.DUMMYFUNCTION("$C195*IMPORTRANGE(""https://docs.google.com/spreadsheets/d/1xsp01RMmkav9iTy39Zaj_7tE9677EGlOJ14KU9TZn7I/"",""1985-2003!T4045"")"),57.45384092)</f>
        <v>57.453840919999998</v>
      </c>
      <c r="F201" s="75">
        <f ca="1">IFERROR(__xludf.DUMMYFUNCTION("$C195*IMPORTRANGE(""https://docs.google.com/spreadsheets/d/1xsp01RMmkav9iTy39Zaj_7tE9677EGlOJ14KU9TZn7I/"",""1985-2003!AC4045"")"),10073.434021)</f>
        <v>10073.434020999999</v>
      </c>
      <c r="G201" s="72" t="s">
        <v>8</v>
      </c>
      <c r="H201" s="5"/>
      <c r="I201" s="5"/>
      <c r="J201" s="5"/>
      <c r="K201" s="2"/>
      <c r="L201" s="3"/>
      <c r="M201" s="52"/>
      <c r="N201" s="52"/>
      <c r="O201" s="52"/>
      <c r="P201" s="52"/>
      <c r="Q201" s="2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2" x14ac:dyDescent="0.25">
      <c r="A202" s="57" t="s">
        <v>218</v>
      </c>
      <c r="B202" s="58">
        <v>409</v>
      </c>
      <c r="C202" s="59">
        <f>288004.4/1000</f>
        <v>288.00440000000003</v>
      </c>
      <c r="D202" s="71">
        <f ca="1">IFERROR(__xludf.DUMMYFUNCTION("$C196*IMPORTRANGE(""https://docs.google.com/spreadsheets/d/1xsp01RMmkav9iTy39Zaj_7tE9677EGlOJ14KU9TZn7I/"",""1985-2003!H4068"")"),278.91786118)</f>
        <v>278.91786117999999</v>
      </c>
      <c r="E202" s="71">
        <f ca="1">IFERROR(__xludf.DUMMYFUNCTION("$C196*IMPORTRANGE(""https://docs.google.com/spreadsheets/d/1xsp01RMmkav9iTy39Zaj_7tE9677EGlOJ14KU9TZn7I/"",""1985-2003!T4068"")"),177.71311502)</f>
        <v>177.71311502</v>
      </c>
      <c r="F202" s="71">
        <f ca="1">IFERROR(__xludf.DUMMYFUNCTION("$C196*IMPORTRANGE(""https://docs.google.com/spreadsheets/d/1xsp01RMmkav9iTy39Zaj_7tE9677EGlOJ14KU9TZn7I/"",""1985-2003!AC4068"")"),30191.501252)</f>
        <v>30191.501251999998</v>
      </c>
      <c r="G202" s="57" t="s">
        <v>8</v>
      </c>
      <c r="H202" s="5"/>
      <c r="I202" s="5"/>
      <c r="J202" s="5"/>
      <c r="K202" s="2"/>
      <c r="L202" s="3"/>
      <c r="M202" s="52"/>
      <c r="N202" s="52"/>
      <c r="O202" s="52"/>
      <c r="P202" s="52"/>
      <c r="Q202" s="2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2" x14ac:dyDescent="0.25">
      <c r="A203" s="76" t="s">
        <v>219</v>
      </c>
      <c r="B203" s="77">
        <v>680</v>
      </c>
      <c r="C203" s="78">
        <f>48977.5/1000</f>
        <v>48.977499999999999</v>
      </c>
      <c r="D203" s="79">
        <f ca="1">IFERROR(__xludf.DUMMYFUNCTION("$C197*IMPORTRANGE(""https://docs.google.com/spreadsheets/d/1xsp01RMmkav9iTy39Zaj_7tE9677EGlOJ14KU9TZn7I/"",""1985-2003!H4092"")"),48.50241825)</f>
        <v>48.502418249999998</v>
      </c>
      <c r="E203" s="79">
        <f ca="1">IFERROR(__xludf.DUMMYFUNCTION("$C197*IMPORTRANGE(""https://docs.google.com/spreadsheets/d/1xsp01RMmkav9iTy39Zaj_7tE9677EGlOJ14KU9TZn7I/"",""1985-2003!T4092"")"),30.358703375)</f>
        <v>30.358703375000001</v>
      </c>
      <c r="F203" s="79">
        <f ca="1">IFERROR(__xludf.DUMMYFUNCTION("$C197*IMPORTRANGE(""https://docs.google.com/spreadsheets/d/1xsp01RMmkav9iTy39Zaj_7tE9677EGlOJ14KU9TZn7I/"",""1985-2003!AC4092"")"),5018.72442499999)</f>
        <v>5018.7244249999903</v>
      </c>
      <c r="G203" s="76" t="s">
        <v>8</v>
      </c>
      <c r="H203" s="5"/>
      <c r="I203" s="5"/>
      <c r="J203" s="5"/>
      <c r="K203" s="2"/>
      <c r="L203" s="3"/>
      <c r="M203" s="52"/>
      <c r="N203" s="52"/>
      <c r="O203" s="52"/>
      <c r="P203" s="52"/>
      <c r="Q203" s="2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2" x14ac:dyDescent="0.25">
      <c r="A204" s="68">
        <v>2000</v>
      </c>
      <c r="B204" s="69"/>
      <c r="C204" s="70"/>
      <c r="D204" s="70"/>
      <c r="E204" s="70"/>
      <c r="F204" s="70"/>
      <c r="G204" s="68"/>
      <c r="H204" s="5"/>
      <c r="I204" s="5"/>
      <c r="J204" s="5"/>
      <c r="K204" s="2"/>
      <c r="L204" s="3"/>
      <c r="M204" s="52"/>
      <c r="N204" s="52"/>
      <c r="O204" s="52"/>
      <c r="P204" s="52"/>
      <c r="Q204" s="2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2" x14ac:dyDescent="0.25">
      <c r="A205" s="57" t="s">
        <v>220</v>
      </c>
      <c r="B205" s="58">
        <v>384</v>
      </c>
      <c r="C205" s="59">
        <f>234573.2/1000</f>
        <v>234.57320000000001</v>
      </c>
      <c r="D205" s="71">
        <f ca="1">IFERROR(__xludf.DUMMYFUNCTION("$C199*IMPORTRANGE(""https://docs.google.com/spreadsheets/d/1xsp01RMmkav9iTy39Zaj_7tE9677EGlOJ14KU9TZn7I/"",""1985-2003!H4115"")"),231.57066304)</f>
        <v>231.57066304</v>
      </c>
      <c r="E205" s="71">
        <f ca="1">IFERROR(__xludf.DUMMYFUNCTION("$C199*IMPORTRANGE(""https://docs.google.com/spreadsheets/d/1xsp01RMmkav9iTy39Zaj_7tE9677EGlOJ14KU9TZn7I/"",""1985-2003!T4115"")"),143.05446602)</f>
        <v>143.05446602000001</v>
      </c>
      <c r="F205" s="71">
        <f ca="1">IFERROR(__xludf.DUMMYFUNCTION("$C199*IMPORTRANGE(""https://docs.google.com/spreadsheets/d/1xsp01RMmkav9iTy39Zaj_7tE9677EGlOJ14KU9TZn7I/"",""1985-2003!AC4115"")"),24714.632352)</f>
        <v>24714.632352000001</v>
      </c>
      <c r="G205" s="57" t="s">
        <v>8</v>
      </c>
      <c r="H205" s="5"/>
      <c r="I205" s="5"/>
      <c r="J205" s="5"/>
      <c r="K205" s="2"/>
      <c r="L205" s="3"/>
      <c r="M205" s="52"/>
      <c r="N205" s="52"/>
      <c r="O205" s="52"/>
      <c r="P205" s="52"/>
      <c r="Q205" s="2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2" x14ac:dyDescent="0.25">
      <c r="A206" s="72" t="s">
        <v>221</v>
      </c>
      <c r="B206" s="73">
        <v>447</v>
      </c>
      <c r="C206" s="74">
        <f>125218.1/1000</f>
        <v>125.21810000000001</v>
      </c>
      <c r="D206" s="75">
        <f ca="1">IFERROR(__xludf.DUMMYFUNCTION("$C200*IMPORTRANGE(""https://docs.google.com/spreadsheets/d/1xsp01RMmkav9iTy39Zaj_7tE9677EGlOJ14KU9TZn7I/"",""1985-2003!H4137"")"),127.03376245)</f>
        <v>127.03376245</v>
      </c>
      <c r="E206" s="75">
        <f ca="1">IFERROR(__xludf.DUMMYFUNCTION("$C200*IMPORTRANGE(""https://docs.google.com/spreadsheets/d/1xsp01RMmkav9iTy39Zaj_7tE9677EGlOJ14KU9TZn7I/"",""1985-2003!T4137"")"),78.24879069)</f>
        <v>78.248790690000007</v>
      </c>
      <c r="F206" s="75">
        <f ca="1">IFERROR(__xludf.DUMMYFUNCTION("$C200*IMPORTRANGE(""https://docs.google.com/spreadsheets/d/1xsp01RMmkav9iTy39Zaj_7tE9677EGlOJ14KU9TZn7I/"",""1985-2003!AC4137"")"),13698.86014)</f>
        <v>13698.860140000001</v>
      </c>
      <c r="G206" s="72" t="s">
        <v>8</v>
      </c>
      <c r="H206" s="5"/>
      <c r="I206" s="5"/>
      <c r="J206" s="5"/>
      <c r="K206" s="2"/>
      <c r="L206" s="3"/>
      <c r="M206" s="52"/>
      <c r="N206" s="52"/>
      <c r="O206" s="52"/>
      <c r="P206" s="52"/>
      <c r="Q206" s="2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2" x14ac:dyDescent="0.25">
      <c r="A207" s="57" t="s">
        <v>222</v>
      </c>
      <c r="B207" s="58">
        <v>528</v>
      </c>
      <c r="C207" s="59">
        <f>143527.1/1000</f>
        <v>143.52710000000002</v>
      </c>
      <c r="D207" s="71">
        <f ca="1">IFERROR(__xludf.DUMMYFUNCTION("$C201*IMPORTRANGE(""https://docs.google.com/spreadsheets/d/1xsp01RMmkav9iTy39Zaj_7tE9677EGlOJ14KU9TZn7I/"",""1985-2003!H4161"")"),148.80889728)</f>
        <v>148.80889728</v>
      </c>
      <c r="E207" s="71">
        <f ca="1">IFERROR(__xludf.DUMMYFUNCTION("$C201*IMPORTRANGE(""https://docs.google.com/spreadsheets/d/1xsp01RMmkav9iTy39Zaj_7tE9677EGlOJ14KU9TZn7I/"",""1985-2003!T4161"")"),90.8526543)</f>
        <v>90.852654299999998</v>
      </c>
      <c r="F207" s="71">
        <f ca="1">IFERROR(__xludf.DUMMYFUNCTION("$C201*IMPORTRANGE(""https://docs.google.com/spreadsheets/d/1xsp01RMmkav9iTy39Zaj_7tE9677EGlOJ14KU9TZn7I/"",""1985-2003!AC4161"")"),15307.165215)</f>
        <v>15307.165215000001</v>
      </c>
      <c r="G207" s="57" t="s">
        <v>8</v>
      </c>
      <c r="H207" s="5"/>
      <c r="I207" s="5"/>
      <c r="J207" s="5"/>
      <c r="K207" s="2"/>
      <c r="L207" s="3"/>
      <c r="M207" s="52"/>
      <c r="N207" s="52"/>
      <c r="O207" s="52"/>
      <c r="P207" s="52"/>
      <c r="Q207" s="2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2" x14ac:dyDescent="0.25">
      <c r="A208" s="72" t="s">
        <v>223</v>
      </c>
      <c r="B208" s="73">
        <v>401</v>
      </c>
      <c r="C208" s="74">
        <f>92583/1000</f>
        <v>92.582999999999998</v>
      </c>
      <c r="D208" s="75">
        <f ca="1">IFERROR(__xludf.DUMMYFUNCTION("$C202*IMPORTRANGE(""https://docs.google.com/spreadsheets/d/1xsp01RMmkav9iTy39Zaj_7tE9677EGlOJ14KU9TZn7I/"",""1985-2003!H4182"")"),97.21215)</f>
        <v>97.212149999999994</v>
      </c>
      <c r="E208" s="75">
        <f ca="1">IFERROR(__xludf.DUMMYFUNCTION("$C202*IMPORTRANGE(""https://docs.google.com/spreadsheets/d/1xsp01RMmkav9iTy39Zaj_7tE9677EGlOJ14KU9TZn7I/"",""1985-2003!T4182"")"),58.512456)</f>
        <v>58.512456</v>
      </c>
      <c r="F208" s="75">
        <f ca="1">IFERROR(__xludf.DUMMYFUNCTION("$C202*IMPORTRANGE(""https://docs.google.com/spreadsheets/d/1xsp01RMmkav9iTy39Zaj_7tE9677EGlOJ14KU9TZn7I/"",""1985-2003!AC4182"")"),9789.26350499999)</f>
        <v>9789.2635049999899</v>
      </c>
      <c r="G208" s="72" t="s">
        <v>8</v>
      </c>
      <c r="H208" s="5"/>
      <c r="I208" s="5"/>
      <c r="J208" s="5"/>
      <c r="K208" s="2"/>
      <c r="L208" s="3"/>
      <c r="M208" s="52"/>
      <c r="N208" s="52"/>
      <c r="O208" s="52"/>
      <c r="P208" s="52"/>
      <c r="Q208" s="2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2" x14ac:dyDescent="0.25">
      <c r="A209" s="57" t="s">
        <v>224</v>
      </c>
      <c r="B209" s="58">
        <v>423</v>
      </c>
      <c r="C209" s="59">
        <f>112532.3/1000</f>
        <v>112.53230000000001</v>
      </c>
      <c r="D209" s="71">
        <f ca="1">IFERROR(__xludf.DUMMYFUNCTION("$C203*IMPORTRANGE(""https://docs.google.com/spreadsheets/d/1xsp01RMmkav9iTy39Zaj_7tE9677EGlOJ14KU9TZn7I/"",""1985-2003!H4206"")"),124.07811398)</f>
        <v>124.07811398</v>
      </c>
      <c r="E209" s="71">
        <f ca="1">IFERROR(__xludf.DUMMYFUNCTION("$C203*IMPORTRANGE(""https://docs.google.com/spreadsheets/d/1xsp01RMmkav9iTy39Zaj_7tE9677EGlOJ14KU9TZn7I/"",""1985-2003!T4206"")"),75.12656348)</f>
        <v>75.126563480000002</v>
      </c>
      <c r="F209" s="71">
        <f ca="1">IFERROR(__xludf.DUMMYFUNCTION("$C203*IMPORTRANGE(""https://docs.google.com/spreadsheets/d/1xsp01RMmkav9iTy39Zaj_7tE9677EGlOJ14KU9TZn7I/"",""1985-2003!AC4206"")"),12200.751966)</f>
        <v>12200.751966</v>
      </c>
      <c r="G209" s="57" t="s">
        <v>8</v>
      </c>
      <c r="H209" s="5"/>
      <c r="I209" s="5"/>
      <c r="J209" s="5"/>
      <c r="K209" s="2"/>
      <c r="L209" s="3"/>
      <c r="M209" s="52"/>
      <c r="N209" s="52"/>
      <c r="O209" s="52"/>
      <c r="P209" s="52"/>
      <c r="Q209" s="2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2" x14ac:dyDescent="0.25">
      <c r="A210" s="72" t="s">
        <v>225</v>
      </c>
      <c r="B210" s="73">
        <v>540</v>
      </c>
      <c r="C210" s="74">
        <f>138580.3/1000</f>
        <v>138.58029999999999</v>
      </c>
      <c r="D210" s="75">
        <f ca="1">IFERROR(__xludf.DUMMYFUNCTION("$C204*IMPORTRANGE(""https://docs.google.com/spreadsheets/d/1xsp01RMmkav9iTy39Zaj_7tE9677EGlOJ14KU9TZn7I/"",""1985-2003!H4229"")"),145.433095835)</f>
        <v>145.43309583499999</v>
      </c>
      <c r="E210" s="75">
        <f ca="1">IFERROR(__xludf.DUMMYFUNCTION("$C204*IMPORTRANGE(""https://docs.google.com/spreadsheets/d/1xsp01RMmkav9iTy39Zaj_7tE9677EGlOJ14KU9TZn7I/"",""1985-2003!T4229"")"),91.733229585)</f>
        <v>91.733229585000004</v>
      </c>
      <c r="F210" s="75">
        <f ca="1">IFERROR(__xludf.DUMMYFUNCTION("$C204*IMPORTRANGE(""https://docs.google.com/spreadsheets/d/1xsp01RMmkav9iTy39Zaj_7tE9677EGlOJ14KU9TZn7I/"",""1985-2003!AC4229"")"),14683.968588)</f>
        <v>14683.968588</v>
      </c>
      <c r="G210" s="72" t="s">
        <v>8</v>
      </c>
      <c r="H210" s="5"/>
      <c r="I210" s="5"/>
      <c r="J210" s="5"/>
      <c r="K210" s="2"/>
      <c r="L210" s="3"/>
      <c r="M210" s="52"/>
      <c r="N210" s="52"/>
      <c r="O210" s="52"/>
      <c r="P210" s="52"/>
      <c r="Q210" s="2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2" x14ac:dyDescent="0.25">
      <c r="A211" s="57" t="s">
        <v>226</v>
      </c>
      <c r="B211" s="58">
        <v>409</v>
      </c>
      <c r="C211" s="59">
        <f>148670.8/1000</f>
        <v>148.67079999999999</v>
      </c>
      <c r="D211" s="71">
        <f ca="1">IFERROR(__xludf.DUMMYFUNCTION("$C205*IMPORTRANGE(""https://docs.google.com/spreadsheets/d/1xsp01RMmkav9iTy39Zaj_7tE9677EGlOJ14KU9TZn7I/"",""1985-2003!H4251"")"),158.43847156)</f>
        <v>158.43847156000001</v>
      </c>
      <c r="E211" s="71">
        <f ca="1">IFERROR(__xludf.DUMMYFUNCTION("$C205*IMPORTRANGE(""https://docs.google.com/spreadsheets/d/1xsp01RMmkav9iTy39Zaj_7tE9677EGlOJ14KU9TZn7I/"",""1985-2003!T4251"")"),98.40520252)</f>
        <v>98.405202520000003</v>
      </c>
      <c r="F211" s="71">
        <f ca="1">IFERROR(__xludf.DUMMYFUNCTION("$C205*IMPORTRANGE(""https://docs.google.com/spreadsheets/d/1xsp01RMmkav9iTy39Zaj_7tE9677EGlOJ14KU9TZn7I/"",""1985-2003!AC4251"")"),16071.3134799999)</f>
        <v>16071.313479999901</v>
      </c>
      <c r="G211" s="57" t="s">
        <v>8</v>
      </c>
      <c r="H211" s="5"/>
      <c r="I211" s="5"/>
      <c r="J211" s="5"/>
      <c r="K211" s="2"/>
      <c r="L211" s="3"/>
      <c r="M211" s="52"/>
      <c r="N211" s="52"/>
      <c r="O211" s="52"/>
      <c r="P211" s="52"/>
      <c r="Q211" s="2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2" x14ac:dyDescent="0.25">
      <c r="A212" s="72" t="s">
        <v>227</v>
      </c>
      <c r="B212" s="73">
        <v>367</v>
      </c>
      <c r="C212" s="74">
        <f>80379/1000</f>
        <v>80.379000000000005</v>
      </c>
      <c r="D212" s="75">
        <f ca="1">IFERROR(__xludf.DUMMYFUNCTION("$C206*IMPORTRANGE(""https://docs.google.com/spreadsheets/d/1xsp01RMmkav9iTy39Zaj_7tE9677EGlOJ14KU9TZn7I/"",""1985-2003!H4275"")"),89.059932)</f>
        <v>89.059932000000003</v>
      </c>
      <c r="E212" s="75">
        <f ca="1">IFERROR(__xludf.DUMMYFUNCTION("$C206*IMPORTRANGE(""https://docs.google.com/spreadsheets/d/1xsp01RMmkav9iTy39Zaj_7tE9677EGlOJ14KU9TZn7I/"",""1985-2003!T4275"")"),53.7574752)</f>
        <v>53.757475200000002</v>
      </c>
      <c r="F212" s="75">
        <f ca="1">IFERROR(__xludf.DUMMYFUNCTION("$C206*IMPORTRANGE(""https://docs.google.com/spreadsheets/d/1xsp01RMmkav9iTy39Zaj_7tE9677EGlOJ14KU9TZn7I/"",""1985-2003!AC4275"")"),8723.53287)</f>
        <v>8723.5328699999991</v>
      </c>
      <c r="G212" s="72" t="s">
        <v>8</v>
      </c>
      <c r="H212" s="5"/>
      <c r="I212" s="5"/>
      <c r="J212" s="5"/>
      <c r="K212" s="2"/>
      <c r="L212" s="3"/>
      <c r="M212" s="52"/>
      <c r="N212" s="52"/>
      <c r="O212" s="52"/>
      <c r="P212" s="52"/>
      <c r="Q212" s="2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2" x14ac:dyDescent="0.25">
      <c r="A213" s="57" t="s">
        <v>228</v>
      </c>
      <c r="B213" s="58">
        <v>413</v>
      </c>
      <c r="C213" s="59">
        <f>158160.6/1000</f>
        <v>158.16060000000002</v>
      </c>
      <c r="D213" s="71">
        <f ca="1">IFERROR(__xludf.DUMMYFUNCTION("$C207*IMPORTRANGE(""https://docs.google.com/spreadsheets/d/1xsp01RMmkav9iTy39Zaj_7tE9677EGlOJ14KU9TZn7I/"",""1985-2003!H4297"")"),181.8056097)</f>
        <v>181.80560969999999</v>
      </c>
      <c r="E213" s="71">
        <f ca="1">IFERROR(__xludf.DUMMYFUNCTION("$C207*IMPORTRANGE(""https://docs.google.com/spreadsheets/d/1xsp01RMmkav9iTy39Zaj_7tE9677EGlOJ14KU9TZn7I/"",""1985-2003!T4297"")"),110.01651336)</f>
        <v>110.01651336</v>
      </c>
      <c r="F213" s="71">
        <f ca="1">IFERROR(__xludf.DUMMYFUNCTION("$C207*IMPORTRANGE(""https://docs.google.com/spreadsheets/d/1xsp01RMmkav9iTy39Zaj_7tE9677EGlOJ14KU9TZn7I/"",""1985-2003!AC4297"")"),16908.949746)</f>
        <v>16908.949745999998</v>
      </c>
      <c r="G213" s="57" t="s">
        <v>8</v>
      </c>
      <c r="H213" s="5"/>
      <c r="I213" s="5"/>
      <c r="J213" s="5"/>
      <c r="K213" s="2"/>
      <c r="L213" s="3"/>
      <c r="M213" s="52"/>
      <c r="N213" s="52"/>
      <c r="O213" s="52"/>
      <c r="P213" s="52"/>
      <c r="Q213" s="2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2" x14ac:dyDescent="0.25">
      <c r="A214" s="72" t="s">
        <v>229</v>
      </c>
      <c r="B214" s="73">
        <v>412</v>
      </c>
      <c r="C214" s="74">
        <f>129300/1000</f>
        <v>129.30000000000001</v>
      </c>
      <c r="D214" s="75">
        <f ca="1">IFERROR(__xludf.DUMMYFUNCTION("$C208*IMPORTRANGE(""https://docs.google.com/spreadsheets/d/1xsp01RMmkav9iTy39Zaj_7tE9677EGlOJ14KU9TZn7I/"",""1985-2003!H4320"")"),151.752945)</f>
        <v>151.75294500000001</v>
      </c>
      <c r="E214" s="75">
        <f ca="1">IFERROR(__xludf.DUMMYFUNCTION("$C208*IMPORTRANGE(""https://docs.google.com/spreadsheets/d/1xsp01RMmkav9iTy39Zaj_7tE9677EGlOJ14KU9TZn7I/"",""1985-2003!T4320"")"),89.15235)</f>
        <v>89.152349999999998</v>
      </c>
      <c r="F214" s="75">
        <f ca="1">IFERROR(__xludf.DUMMYFUNCTION("$C208*IMPORTRANGE(""https://docs.google.com/spreadsheets/d/1xsp01RMmkav9iTy39Zaj_7tE9677EGlOJ14KU9TZn7I/"",""1985-2003!AC4320"")"),14012.241)</f>
        <v>14012.241</v>
      </c>
      <c r="G214" s="72" t="s">
        <v>8</v>
      </c>
      <c r="H214" s="5"/>
      <c r="I214" s="5"/>
      <c r="J214" s="5"/>
      <c r="K214" s="2"/>
      <c r="L214" s="3"/>
      <c r="M214" s="52"/>
      <c r="N214" s="52"/>
      <c r="O214" s="52"/>
      <c r="P214" s="52"/>
      <c r="Q214" s="2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2" x14ac:dyDescent="0.25">
      <c r="A215" s="57" t="s">
        <v>230</v>
      </c>
      <c r="B215" s="58">
        <v>397</v>
      </c>
      <c r="C215" s="59">
        <f>97286.2/1000</f>
        <v>97.286199999999994</v>
      </c>
      <c r="D215" s="71">
        <f ca="1">IFERROR(__xludf.DUMMYFUNCTION("$C209*IMPORTRANGE(""https://docs.google.com/spreadsheets/d/1xsp01RMmkav9iTy39Zaj_7tE9677EGlOJ14KU9TZn7I/"",""1985-2003!H4343"")"),113.440573509999)</f>
        <v>113.440573509999</v>
      </c>
      <c r="E215" s="71">
        <f ca="1">IFERROR(__xludf.DUMMYFUNCTION("$C209*IMPORTRANGE(""https://docs.google.com/spreadsheets/d/1xsp01RMmkav9iTy39Zaj_7tE9677EGlOJ14KU9TZn7I/"",""1985-2003!T4343"")"),68.26086223)</f>
        <v>68.260862230000001</v>
      </c>
      <c r="F215" s="71">
        <f ca="1">IFERROR(__xludf.DUMMYFUNCTION("$C209*IMPORTRANGE(""https://docs.google.com/spreadsheets/d/1xsp01RMmkav9iTy39Zaj_7tE9677EGlOJ14KU9TZn7I/"",""1985-2003!AC4343"")"),10591.0621629999)</f>
        <v>10591.0621629999</v>
      </c>
      <c r="G215" s="57" t="s">
        <v>8</v>
      </c>
      <c r="H215" s="5"/>
      <c r="I215" s="5"/>
      <c r="J215" s="5"/>
      <c r="K215" s="2"/>
      <c r="L215" s="3"/>
      <c r="M215" s="52"/>
      <c r="N215" s="52"/>
      <c r="O215" s="52"/>
      <c r="P215" s="52"/>
      <c r="Q215" s="2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2" x14ac:dyDescent="0.25">
      <c r="A216" s="76" t="s">
        <v>231</v>
      </c>
      <c r="B216" s="77">
        <v>682</v>
      </c>
      <c r="C216" s="78">
        <f>71356.4/1000</f>
        <v>71.356399999999994</v>
      </c>
      <c r="D216" s="79">
        <f ca="1">IFERROR(__xludf.DUMMYFUNCTION("$C210*IMPORTRANGE(""https://docs.google.com/spreadsheets/d/1xsp01RMmkav9iTy39Zaj_7tE9677EGlOJ14KU9TZn7I/"",""1985-2003!H4365"")"),79.84067596)</f>
        <v>79.840675959999999</v>
      </c>
      <c r="E216" s="79">
        <f ca="1">IFERROR(__xludf.DUMMYFUNCTION("$C210*IMPORTRANGE(""https://docs.google.com/spreadsheets/d/1xsp01RMmkav9iTy39Zaj_7tE9677EGlOJ14KU9TZn7I/"",""1985-2003!T4365"")"),48.4509956)</f>
        <v>48.450995599999999</v>
      </c>
      <c r="F216" s="79">
        <f ca="1">IFERROR(__xludf.DUMMYFUNCTION("$C210*IMPORTRANGE(""https://docs.google.com/spreadsheets/d/1xsp01RMmkav9iTy39Zaj_7tE9677EGlOJ14KU9TZn7I/"",""1985-2003!AC4365"")"),8014.03728399999)</f>
        <v>8014.03728399999</v>
      </c>
      <c r="G216" s="76" t="s">
        <v>8</v>
      </c>
      <c r="H216" s="5"/>
      <c r="I216" s="5"/>
      <c r="J216" s="5"/>
      <c r="K216" s="2"/>
      <c r="L216" s="3"/>
      <c r="M216" s="52"/>
      <c r="N216" s="52"/>
      <c r="O216" s="52"/>
      <c r="P216" s="52"/>
      <c r="Q216" s="2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2" x14ac:dyDescent="0.25">
      <c r="A217" s="68">
        <v>2001</v>
      </c>
      <c r="B217" s="69"/>
      <c r="C217" s="70"/>
      <c r="D217" s="70"/>
      <c r="E217" s="70"/>
      <c r="F217" s="70"/>
      <c r="G217" s="68"/>
      <c r="H217" s="5"/>
      <c r="I217" s="5"/>
      <c r="J217" s="5"/>
      <c r="K217" s="2"/>
      <c r="L217" s="3"/>
      <c r="M217" s="52"/>
      <c r="N217" s="52"/>
      <c r="O217" s="52"/>
      <c r="P217" s="52"/>
      <c r="Q217" s="2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2" x14ac:dyDescent="0.25">
      <c r="A218" s="82">
        <v>45292</v>
      </c>
      <c r="B218" s="58">
        <v>499</v>
      </c>
      <c r="C218" s="59">
        <f>82599.4/1000</f>
        <v>82.599399999999989</v>
      </c>
      <c r="D218" s="71">
        <f ca="1">IFERROR(__xludf.DUMMYFUNCTION("$C212*IMPORTRANGE(""https://docs.google.com/spreadsheets/d/1xsp01RMmkav9iTy39Zaj_7tE9677EGlOJ14KU9TZn7I/"",""1985-2003!H4389"")"),88.0014007599999)</f>
        <v>88.001400759999896</v>
      </c>
      <c r="E218" s="71">
        <f ca="1">IFERROR(__xludf.DUMMYFUNCTION("$C212*IMPORTRANGE(""https://docs.google.com/spreadsheets/d/1xsp01RMmkav9iTy39Zaj_7tE9677EGlOJ14KU9TZn7I/"",""1985-2003!T4389"")"),56.0560828099999)</f>
        <v>56.0560828099999</v>
      </c>
      <c r="F218" s="71">
        <f ca="1">IFERROR(__xludf.DUMMYFUNCTION("$C212*IMPORTRANGE(""https://docs.google.com/spreadsheets/d/1xsp01RMmkav9iTy39Zaj_7tE9677EGlOJ14KU9TZn7I/"",""1985-2003!AC4389"")"),9649.26190799999)</f>
        <v>9649.2619079999895</v>
      </c>
      <c r="G218" s="57" t="s">
        <v>8</v>
      </c>
      <c r="H218" s="5"/>
      <c r="I218" s="5"/>
      <c r="J218" s="5"/>
      <c r="K218" s="2"/>
      <c r="L218" s="3"/>
      <c r="M218" s="52"/>
      <c r="N218" s="52"/>
      <c r="O218" s="52"/>
      <c r="P218" s="52"/>
      <c r="Q218" s="2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2" x14ac:dyDescent="0.25">
      <c r="A219" s="84">
        <v>45323</v>
      </c>
      <c r="B219" s="73">
        <v>445</v>
      </c>
      <c r="C219" s="74">
        <f>57981.6/1000</f>
        <v>57.9816</v>
      </c>
      <c r="D219" s="75">
        <f ca="1">IFERROR(__xludf.DUMMYFUNCTION("$C213*IMPORTRANGE(""https://docs.google.com/spreadsheets/d/1xsp01RMmkav9iTy39Zaj_7tE9677EGlOJ14KU9TZn7I/"",""1985-2003!H4410"")"),63.03469644)</f>
        <v>63.034696439999998</v>
      </c>
      <c r="E219" s="75">
        <f ca="1">IFERROR(__xludf.DUMMYFUNCTION("$C213*IMPORTRANGE(""https://docs.google.com/spreadsheets/d/1xsp01RMmkav9iTy39Zaj_7tE9677EGlOJ14KU9TZn7I/"",""1985-2003!T4410"")"),40.02469848)</f>
        <v>40.024698479999998</v>
      </c>
      <c r="F219" s="75">
        <f ca="1">IFERROR(__xludf.DUMMYFUNCTION("$C213*IMPORTRANGE(""https://docs.google.com/spreadsheets/d/1xsp01RMmkav9iTy39Zaj_7tE9677EGlOJ14KU9TZn7I/"",""1985-2003!AC4410"")"),6740.650908)</f>
        <v>6740.6509079999996</v>
      </c>
      <c r="G219" s="72" t="s">
        <v>8</v>
      </c>
      <c r="H219" s="5"/>
      <c r="I219" s="5"/>
      <c r="J219" s="5"/>
      <c r="K219" s="2"/>
      <c r="L219" s="3"/>
      <c r="M219" s="52"/>
      <c r="N219" s="52"/>
      <c r="O219" s="52"/>
      <c r="P219" s="52"/>
      <c r="Q219" s="2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2" x14ac:dyDescent="0.25">
      <c r="A220" s="82">
        <v>45352</v>
      </c>
      <c r="B220" s="58">
        <v>532</v>
      </c>
      <c r="C220" s="59">
        <f>134992/1000</f>
        <v>134.99199999999999</v>
      </c>
      <c r="D220" s="71">
        <f ca="1">IFERROR(__xludf.DUMMYFUNCTION("$C214*IMPORTRANGE(""https://docs.google.com/spreadsheets/d/1xsp01RMmkav9iTy39Zaj_7tE9677EGlOJ14KU9TZn7I/"",""1985-2003!H4433"")"),149.2876528)</f>
        <v>149.28765279999999</v>
      </c>
      <c r="E220" s="71">
        <f ca="1">IFERROR(__xludf.DUMMYFUNCTION("$C214*IMPORTRANGE(""https://docs.google.com/spreadsheets/d/1xsp01RMmkav9iTy39Zaj_7tE9677EGlOJ14KU9TZn7I/"",""1985-2003!T4433"")"),93.9611816)</f>
        <v>93.961181600000003</v>
      </c>
      <c r="F220" s="71">
        <f ca="1">IFERROR(__xludf.DUMMYFUNCTION("$C214*IMPORTRANGE(""https://docs.google.com/spreadsheets/d/1xsp01RMmkav9iTy39Zaj_7tE9677EGlOJ14KU9TZn7I/"",""1985-2003!AC4433"")"),16500.07216)</f>
        <v>16500.07216</v>
      </c>
      <c r="G220" s="57" t="s">
        <v>8</v>
      </c>
      <c r="H220" s="5"/>
      <c r="I220" s="5"/>
      <c r="J220" s="5"/>
      <c r="K220" s="2"/>
      <c r="L220" s="3"/>
      <c r="M220" s="52"/>
      <c r="N220" s="52"/>
      <c r="O220" s="52"/>
      <c r="P220" s="52"/>
      <c r="Q220" s="2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2" x14ac:dyDescent="0.25">
      <c r="A221" s="84">
        <v>45383</v>
      </c>
      <c r="B221" s="73">
        <v>457</v>
      </c>
      <c r="C221" s="74">
        <f>91708.3/1000</f>
        <v>91.708300000000008</v>
      </c>
      <c r="D221" s="75">
        <f ca="1">IFERROR(__xludf.DUMMYFUNCTION("$C215*IMPORTRANGE(""https://docs.google.com/spreadsheets/d/1xsp01RMmkav9iTy39Zaj_7tE9677EGlOJ14KU9TZn7I/"",""1985-2003!H4455"")"),102.54822106)</f>
        <v>102.54822106</v>
      </c>
      <c r="E221" s="75">
        <f ca="1">IFERROR(__xludf.DUMMYFUNCTION("$C215*IMPORTRANGE(""https://docs.google.com/spreadsheets/d/1xsp01RMmkav9iTy39Zaj_7tE9677EGlOJ14KU9TZn7I/"",""1985-2003!T4455"")"),63.8289768)</f>
        <v>63.8289768</v>
      </c>
      <c r="F221" s="75">
        <f ca="1">IFERROR(__xludf.DUMMYFUNCTION("$C215*IMPORTRANGE(""https://docs.google.com/spreadsheets/d/1xsp01RMmkav9iTy39Zaj_7tE9677EGlOJ14KU9TZn7I/"",""1985-2003!AC4455"")"),11351.653374)</f>
        <v>11351.653374</v>
      </c>
      <c r="G221" s="72" t="s">
        <v>8</v>
      </c>
      <c r="H221" s="5"/>
      <c r="I221" s="5"/>
      <c r="J221" s="5"/>
      <c r="K221" s="2"/>
      <c r="L221" s="3"/>
      <c r="M221" s="52"/>
      <c r="N221" s="52"/>
      <c r="O221" s="52"/>
      <c r="P221" s="52"/>
      <c r="Q221" s="2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2" x14ac:dyDescent="0.25">
      <c r="A222" s="83">
        <v>45413</v>
      </c>
      <c r="B222" s="58">
        <v>537</v>
      </c>
      <c r="C222" s="59">
        <f>79158.2/1000</f>
        <v>79.158199999999994</v>
      </c>
      <c r="D222" s="71">
        <f ca="1">IFERROR(__xludf.DUMMYFUNCTION("$C216*IMPORTRANGE(""https://docs.google.com/spreadsheets/d/1xsp01RMmkav9iTy39Zaj_7tE9677EGlOJ14KU9TZn7I/"",""1985-2003!H4479"")"),90.1374423399999)</f>
        <v>90.137442339999893</v>
      </c>
      <c r="E222" s="71">
        <f ca="1">IFERROR(__xludf.DUMMYFUNCTION("$C216*IMPORTRANGE(""https://docs.google.com/spreadsheets/d/1xsp01RMmkav9iTy39Zaj_7tE9677EGlOJ14KU9TZn7I/"",""1985-2003!T4479"")"),55.4978140199999)</f>
        <v>55.4978140199999</v>
      </c>
      <c r="F222" s="71">
        <f ca="1">IFERROR(__xludf.DUMMYFUNCTION("$C216*IMPORTRANGE(""https://docs.google.com/spreadsheets/d/1xsp01RMmkav9iTy39Zaj_7tE9677EGlOJ14KU9TZn7I/"",""1985-2003!AC4479"")"),9609.013898)</f>
        <v>9609.0138979999992</v>
      </c>
      <c r="G222" s="57" t="s">
        <v>8</v>
      </c>
      <c r="H222" s="5"/>
      <c r="I222" s="5"/>
      <c r="J222" s="5"/>
      <c r="K222" s="2"/>
      <c r="L222" s="3"/>
      <c r="M222" s="52"/>
      <c r="N222" s="52"/>
      <c r="O222" s="52"/>
      <c r="P222" s="52"/>
      <c r="Q222" s="2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2" x14ac:dyDescent="0.25">
      <c r="A223" s="84">
        <v>45444</v>
      </c>
      <c r="B223" s="81">
        <v>594</v>
      </c>
      <c r="C223" s="74">
        <f>53572.4/1000</f>
        <v>53.572400000000002</v>
      </c>
      <c r="D223" s="75">
        <f ca="1">IFERROR(__xludf.DUMMYFUNCTION("$C217*IMPORTRANGE(""https://docs.google.com/spreadsheets/d/1xsp01RMmkav9iTy39Zaj_7tE9677EGlOJ14KU9TZn7I/"",""1985-2003!H4501"")"),62.71720868)</f>
        <v>62.717208679999999</v>
      </c>
      <c r="E223" s="75">
        <f ca="1">IFERROR(__xludf.DUMMYFUNCTION("$C217*IMPORTRANGE(""https://docs.google.com/spreadsheets/d/1xsp01RMmkav9iTy39Zaj_7tE9677EGlOJ14KU9TZn7I/"",""1985-2003!T4501"")"),38.11140536)</f>
        <v>38.111405359999999</v>
      </c>
      <c r="F223" s="75">
        <f ca="1">IFERROR(__xludf.DUMMYFUNCTION("$C217*IMPORTRANGE(""https://docs.google.com/spreadsheets/d/1xsp01RMmkav9iTy39Zaj_7tE9677EGlOJ14KU9TZn7I/"",""1985-2003!AC4501"")"),6579.226444)</f>
        <v>6579.2264439999999</v>
      </c>
      <c r="G223" s="72" t="s">
        <v>8</v>
      </c>
      <c r="H223" s="5"/>
      <c r="I223" s="5"/>
      <c r="J223" s="5"/>
      <c r="K223" s="2"/>
      <c r="L223" s="3"/>
      <c r="M223" s="52"/>
      <c r="N223" s="52"/>
      <c r="O223" s="52"/>
      <c r="P223" s="52"/>
      <c r="Q223" s="2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2" x14ac:dyDescent="0.25">
      <c r="A224" s="82">
        <v>45474</v>
      </c>
      <c r="B224" s="58">
        <v>586</v>
      </c>
      <c r="C224" s="59">
        <f>77521/1000</f>
        <v>77.521000000000001</v>
      </c>
      <c r="D224" s="71">
        <f ca="1">IFERROR(__xludf.DUMMYFUNCTION("$C218*IMPORTRANGE(""https://docs.google.com/spreadsheets/d/1xsp01RMmkav9iTy39Zaj_7tE9677EGlOJ14KU9TZn7I/"",""1985-2003!H4524"")"),90.156923)</f>
        <v>90.156923000000006</v>
      </c>
      <c r="E224" s="71">
        <f ca="1">IFERROR(__xludf.DUMMYFUNCTION("$C218*IMPORTRANGE(""https://docs.google.com/spreadsheets/d/1xsp01RMmkav9iTy39Zaj_7tE9677EGlOJ14KU9TZn7I/"",""1985-2003!T4524"")"),54.807347)</f>
        <v>54.807347</v>
      </c>
      <c r="F224" s="71">
        <f ca="1">IFERROR(__xludf.DUMMYFUNCTION("$C218*IMPORTRANGE(""https://docs.google.com/spreadsheets/d/1xsp01RMmkav9iTy39Zaj_7tE9677EGlOJ14KU9TZn7I/"",""1985-2003!AC4524"")"),9645.93803)</f>
        <v>9645.9380299999993</v>
      </c>
      <c r="G224" s="57" t="s">
        <v>8</v>
      </c>
      <c r="H224" s="5"/>
      <c r="I224" s="5"/>
      <c r="J224" s="5"/>
      <c r="K224" s="2"/>
      <c r="L224" s="3"/>
      <c r="M224" s="52"/>
      <c r="N224" s="52"/>
      <c r="O224" s="52"/>
      <c r="P224" s="52"/>
      <c r="Q224" s="2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2" x14ac:dyDescent="0.25">
      <c r="A225" s="84">
        <v>45505</v>
      </c>
      <c r="B225" s="73">
        <v>477</v>
      </c>
      <c r="C225" s="74">
        <f>58834/1000</f>
        <v>58.834000000000003</v>
      </c>
      <c r="D225" s="75">
        <f ca="1">IFERROR(__xludf.DUMMYFUNCTION("$C219*IMPORTRANGE(""https://docs.google.com/spreadsheets/d/1xsp01RMmkav9iTy39Zaj_7tE9677EGlOJ14KU9TZn7I/"",""1985-2003!H4548"")"),64.5526648)</f>
        <v>64.552664800000002</v>
      </c>
      <c r="E225" s="75">
        <f ca="1">IFERROR(__xludf.DUMMYFUNCTION("$C219*IMPORTRANGE(""https://docs.google.com/spreadsheets/d/1xsp01RMmkav9iTy39Zaj_7tE9677EGlOJ14KU9TZn7I/"",""1985-2003!T4548"")"),40.7660786)</f>
        <v>40.7660786</v>
      </c>
      <c r="F225" s="75">
        <f ca="1">IFERROR(__xludf.DUMMYFUNCTION("$C219*IMPORTRANGE(""https://docs.google.com/spreadsheets/d/1xsp01RMmkav9iTy39Zaj_7tE9677EGlOJ14KU9TZn7I/"",""1985-2003!AC4548"")"),7084.20194)</f>
        <v>7084.2019399999999</v>
      </c>
      <c r="G225" s="72" t="s">
        <v>8</v>
      </c>
      <c r="H225" s="5"/>
      <c r="I225" s="5"/>
      <c r="J225" s="5"/>
      <c r="K225" s="2"/>
      <c r="L225" s="3"/>
      <c r="M225" s="52"/>
      <c r="N225" s="52"/>
      <c r="O225" s="52"/>
      <c r="P225" s="52"/>
      <c r="Q225" s="2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2" x14ac:dyDescent="0.25">
      <c r="A226" s="82">
        <v>45536</v>
      </c>
      <c r="B226" s="58">
        <v>392</v>
      </c>
      <c r="C226" s="59">
        <f>76651.4/1000</f>
        <v>76.651399999999995</v>
      </c>
      <c r="D226" s="71">
        <f ca="1">IFERROR(__xludf.DUMMYFUNCTION("$C220*IMPORTRANGE(""https://docs.google.com/spreadsheets/d/1xsp01RMmkav9iTy39Zaj_7tE9677EGlOJ14KU9TZn7I/"",""1985-2003!H4569"")"),83.8106407599999)</f>
        <v>83.810640759999899</v>
      </c>
      <c r="E226" s="71">
        <f ca="1">IFERROR(__xludf.DUMMYFUNCTION("$C220*IMPORTRANGE(""https://docs.google.com/spreadsheets/d/1xsp01RMmkav9iTy39Zaj_7tE9677EGlOJ14KU9TZn7I/"",""1985-2003!T4569"")"),52.2417616699999)</f>
        <v>52.241761669999903</v>
      </c>
      <c r="F226" s="71">
        <f ca="1">IFERROR(__xludf.DUMMYFUNCTION("$C220*IMPORTRANGE(""https://docs.google.com/spreadsheets/d/1xsp01RMmkav9iTy39Zaj_7tE9677EGlOJ14KU9TZn7I/"",""1985-2003!AC4569"")"),9108.869119)</f>
        <v>9108.8691190000009</v>
      </c>
      <c r="G226" s="57" t="s">
        <v>8</v>
      </c>
      <c r="H226" s="5"/>
      <c r="I226" s="5"/>
      <c r="J226" s="5"/>
      <c r="K226" s="2"/>
      <c r="L226" s="3"/>
      <c r="M226" s="52"/>
      <c r="N226" s="52"/>
      <c r="O226" s="52"/>
      <c r="P226" s="52"/>
      <c r="Q226" s="2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2" x14ac:dyDescent="0.25">
      <c r="A227" s="84">
        <v>45566</v>
      </c>
      <c r="B227" s="73">
        <v>530</v>
      </c>
      <c r="C227" s="74">
        <f>30427.7/1000</f>
        <v>30.427700000000002</v>
      </c>
      <c r="D227" s="75">
        <f ca="1">IFERROR(__xludf.DUMMYFUNCTION("$C221*IMPORTRANGE(""https://docs.google.com/spreadsheets/d/1xsp01RMmkav9iTy39Zaj_7tE9677EGlOJ14KU9TZn7I/"",""1985-2003!H4593"")"),33.63173681)</f>
        <v>33.63173681</v>
      </c>
      <c r="E227" s="75">
        <f ca="1">IFERROR(__xludf.DUMMYFUNCTION("$C221*IMPORTRANGE(""https://docs.google.com/spreadsheets/d/1xsp01RMmkav9iTy39Zaj_7tE9677EGlOJ14KU9TZn7I/"",""1985-2003!T4593"")"),20.96772807)</f>
        <v>20.96772807</v>
      </c>
      <c r="F227" s="75">
        <f ca="1">IFERROR(__xludf.DUMMYFUNCTION("$C221*IMPORTRANGE(""https://docs.google.com/spreadsheets/d/1xsp01RMmkav9iTy39Zaj_7tE9677EGlOJ14KU9TZn7I/"",""1985-2003!AC4593"")"),3688.445794)</f>
        <v>3688.4457940000002</v>
      </c>
      <c r="G227" s="72" t="s">
        <v>8</v>
      </c>
      <c r="H227" s="5"/>
      <c r="I227" s="5"/>
      <c r="J227" s="5"/>
      <c r="K227" s="2"/>
      <c r="L227" s="3"/>
      <c r="M227" s="52"/>
      <c r="N227" s="52"/>
      <c r="O227" s="52"/>
      <c r="P227" s="52"/>
      <c r="Q227" s="2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2" x14ac:dyDescent="0.25">
      <c r="A228" s="82">
        <v>45597</v>
      </c>
      <c r="B228" s="58">
        <v>474</v>
      </c>
      <c r="C228" s="59">
        <f>47782/1000</f>
        <v>47.781999999999996</v>
      </c>
      <c r="D228" s="71">
        <f ca="1">IFERROR(__xludf.DUMMYFUNCTION("$C222*IMPORTRANGE(""https://docs.google.com/spreadsheets/d/1xsp01RMmkav9iTy39Zaj_7tE9677EGlOJ14KU9TZn7I/"",""1985-2003!H4616"")"),53.9339325)</f>
        <v>53.933932499999997</v>
      </c>
      <c r="E228" s="71">
        <f ca="1">IFERROR(__xludf.DUMMYFUNCTION("$C222*IMPORTRANGE(""https://docs.google.com/spreadsheets/d/1xsp01RMmkav9iTy39Zaj_7tE9677EGlOJ14KU9TZn7I/"",""1985-2003!T4616"")"),33.4187308)</f>
        <v>33.418730799999999</v>
      </c>
      <c r="F228" s="71">
        <f ca="1">IFERROR(__xludf.DUMMYFUNCTION("$C222*IMPORTRANGE(""https://docs.google.com/spreadsheets/d/1xsp01RMmkav9iTy39Zaj_7tE9677EGlOJ14KU9TZn7I/"",""1985-2003!AC4616"")"),5850.66698999999)</f>
        <v>5850.6669899999897</v>
      </c>
      <c r="G228" s="57" t="s">
        <v>8</v>
      </c>
      <c r="H228" s="5"/>
      <c r="I228" s="5"/>
      <c r="J228" s="5"/>
      <c r="K228" s="2"/>
      <c r="L228" s="3"/>
      <c r="M228" s="52"/>
      <c r="N228" s="52"/>
      <c r="O228" s="52"/>
      <c r="P228" s="52"/>
      <c r="Q228" s="2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2" x14ac:dyDescent="0.25">
      <c r="A229" s="85">
        <v>45627</v>
      </c>
      <c r="B229" s="77">
        <v>736</v>
      </c>
      <c r="C229" s="78">
        <f>74247.6/1000</f>
        <v>74.247600000000006</v>
      </c>
      <c r="D229" s="79">
        <f ca="1">IFERROR(__xludf.DUMMYFUNCTION("$C223*IMPORTRANGE(""https://docs.google.com/spreadsheets/d/1xsp01RMmkav9iTy39Zaj_7tE9677EGlOJ14KU9TZn7I/"",""1985-2003!H4638"")"),83.342931)</f>
        <v>83.342930999999993</v>
      </c>
      <c r="E229" s="79">
        <f ca="1">IFERROR(__xludf.DUMMYFUNCTION("$C223*IMPORTRANGE(""https://docs.google.com/spreadsheets/d/1xsp01RMmkav9iTy39Zaj_7tE9677EGlOJ14KU9TZn7I/"",""1985-2003!T4638"")"),51.40161348)</f>
        <v>51.401613480000002</v>
      </c>
      <c r="F229" s="79">
        <f ca="1">IFERROR(__xludf.DUMMYFUNCTION("$C223*IMPORTRANGE(""https://docs.google.com/spreadsheets/d/1xsp01RMmkav9iTy39Zaj_7tE9677EGlOJ14KU9TZn7I/"",""1985-2003!AC4638"")"),9471.023856)</f>
        <v>9471.0238559999998</v>
      </c>
      <c r="G229" s="76" t="s">
        <v>8</v>
      </c>
      <c r="H229" s="5"/>
      <c r="I229" s="5"/>
      <c r="J229" s="5"/>
      <c r="K229" s="2"/>
      <c r="L229" s="3"/>
      <c r="M229" s="52"/>
      <c r="N229" s="52"/>
      <c r="O229" s="52"/>
      <c r="P229" s="52"/>
      <c r="Q229" s="2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2" x14ac:dyDescent="0.25">
      <c r="A230" s="68">
        <v>2002</v>
      </c>
      <c r="B230" s="69"/>
      <c r="C230" s="70"/>
      <c r="D230" s="70"/>
      <c r="E230" s="70"/>
      <c r="F230" s="70"/>
      <c r="G230" s="68"/>
      <c r="H230" s="5"/>
      <c r="I230" s="5"/>
      <c r="J230" s="5"/>
      <c r="K230" s="2"/>
      <c r="L230" s="3"/>
      <c r="M230" s="52"/>
      <c r="N230" s="52"/>
      <c r="O230" s="52"/>
      <c r="P230" s="52"/>
      <c r="Q230" s="2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2" x14ac:dyDescent="0.25">
      <c r="A231" s="86" t="s">
        <v>232</v>
      </c>
      <c r="B231" s="58">
        <v>424</v>
      </c>
      <c r="C231" s="59">
        <f>40256.2/1000</f>
        <v>40.2562</v>
      </c>
      <c r="D231" s="71">
        <f ca="1">IFERROR(__xludf.DUMMYFUNCTION("$C225*IMPORTRANGE(""https://docs.google.com/spreadsheets/d/1xsp01RMmkav9iTy39Zaj_7tE9677EGlOJ14KU9TZn7I/"",""1985-2003!H4662"")"),45.53781344)</f>
        <v>45.537813440000001</v>
      </c>
      <c r="E231" s="71">
        <f ca="1">IFERROR(__xludf.DUMMYFUNCTION("$C225*IMPORTRANGE(""https://docs.google.com/spreadsheets/d/1xsp01RMmkav9iTy39Zaj_7tE9677EGlOJ14KU9TZn7I/"",""1985-2003!T4662"")"),28.00422553)</f>
        <v>28.004225529999999</v>
      </c>
      <c r="F231" s="71">
        <f ca="1">IFERROR(__xludf.DUMMYFUNCTION("$C225*IMPORTRANGE(""https://docs.google.com/spreadsheets/d/1xsp01RMmkav9iTy39Zaj_7tE9677EGlOJ14KU9TZn7I/"",""1985-2003!AC4662"")"),5338.575963)</f>
        <v>5338.5759630000002</v>
      </c>
      <c r="G231" s="57" t="s">
        <v>8</v>
      </c>
      <c r="H231" s="5"/>
      <c r="I231" s="5"/>
      <c r="J231" s="5"/>
      <c r="K231" s="2"/>
      <c r="L231" s="3"/>
      <c r="M231" s="52"/>
      <c r="N231" s="52"/>
      <c r="O231" s="52"/>
      <c r="P231" s="52"/>
      <c r="Q231" s="2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2" x14ac:dyDescent="0.25">
      <c r="A232" s="87" t="s">
        <v>233</v>
      </c>
      <c r="B232" s="73">
        <v>395</v>
      </c>
      <c r="C232" s="74">
        <f>33894.5/1000</f>
        <v>33.894500000000001</v>
      </c>
      <c r="D232" s="75">
        <f ca="1">IFERROR(__xludf.DUMMYFUNCTION("$C226*IMPORTRANGE(""https://docs.google.com/spreadsheets/d/1xsp01RMmkav9iTy39Zaj_7tE9677EGlOJ14KU9TZn7I/"",""1985-2003!H4683"")"),38.9244438)</f>
        <v>38.924443799999999</v>
      </c>
      <c r="E232" s="75">
        <f ca="1">IFERROR(__xludf.DUMMYFUNCTION("$C226*IMPORTRANGE(""https://docs.google.com/spreadsheets/d/1xsp01RMmkav9iTy39Zaj_7tE9677EGlOJ14KU9TZn7I/"",""1985-2003!T4683"")"),23.799023175)</f>
        <v>23.799023174999999</v>
      </c>
      <c r="F232" s="75">
        <f ca="1">IFERROR(__xludf.DUMMYFUNCTION("$C226*IMPORTRANGE(""https://docs.google.com/spreadsheets/d/1xsp01RMmkav9iTy39Zaj_7tE9677EGlOJ14KU9TZn7I/"",""1985-2003!AC4683"")"),4530.8472875)</f>
        <v>4530.8472874999998</v>
      </c>
      <c r="G232" s="72" t="s">
        <v>8</v>
      </c>
      <c r="H232" s="5"/>
      <c r="I232" s="5"/>
      <c r="J232" s="5"/>
      <c r="K232" s="2"/>
      <c r="L232" s="3"/>
      <c r="M232" s="52"/>
      <c r="N232" s="52"/>
      <c r="O232" s="52"/>
      <c r="P232" s="52"/>
      <c r="Q232" s="2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2" x14ac:dyDescent="0.25">
      <c r="A233" s="86" t="s">
        <v>234</v>
      </c>
      <c r="B233" s="58">
        <v>512</v>
      </c>
      <c r="C233" s="59">
        <f>60044.1/1000</f>
        <v>60.0441</v>
      </c>
      <c r="D233" s="71">
        <f ca="1">IFERROR(__xludf.DUMMYFUNCTION("$C227*IMPORTRANGE(""https://docs.google.com/spreadsheets/d/1xsp01RMmkav9iTy39Zaj_7tE9677EGlOJ14KU9TZn7I/"",""1985-2003!H4705"")"),68.49230487)</f>
        <v>68.492304869999998</v>
      </c>
      <c r="E233" s="71">
        <f ca="1">IFERROR(__xludf.DUMMYFUNCTION("$C227*IMPORTRANGE(""https://docs.google.com/spreadsheets/d/1xsp01RMmkav9iTy39Zaj_7tE9677EGlOJ14KU9TZn7I/"",""1985-2003!T4705"")"),42.1449537899999)</f>
        <v>42.144953789999903</v>
      </c>
      <c r="F233" s="71">
        <f ca="1">IFERROR(__xludf.DUMMYFUNCTION("$C227*IMPORTRANGE(""https://docs.google.com/spreadsheets/d/1xsp01RMmkav9iTy39Zaj_7tE9677EGlOJ14KU9TZn7I/"",""1985-2003!AC4705"")"),7925.220759)</f>
        <v>7925.2207589999998</v>
      </c>
      <c r="G233" s="57" t="s">
        <v>8</v>
      </c>
      <c r="H233" s="5"/>
      <c r="I233" s="5"/>
      <c r="J233" s="5"/>
      <c r="K233" s="2"/>
      <c r="L233" s="3"/>
      <c r="M233" s="52"/>
      <c r="N233" s="52"/>
      <c r="O233" s="52"/>
      <c r="P233" s="52"/>
      <c r="Q233" s="2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2" x14ac:dyDescent="0.25">
      <c r="A234" s="87" t="s">
        <v>235</v>
      </c>
      <c r="B234" s="73">
        <v>480</v>
      </c>
      <c r="C234" s="74">
        <f>57304.8/1000</f>
        <v>57.3048</v>
      </c>
      <c r="D234" s="75">
        <f ca="1">IFERROR(__xludf.DUMMYFUNCTION("$C228*IMPORTRANGE(""https://docs.google.com/spreadsheets/d/1xsp01RMmkav9iTy39Zaj_7tE9677EGlOJ14KU9TZn7I/"",""1985-2003!H4728"")"),64.9263384)</f>
        <v>64.926338400000006</v>
      </c>
      <c r="E234" s="75">
        <f ca="1">IFERROR(__xludf.DUMMYFUNCTION("$C228*IMPORTRANGE(""https://docs.google.com/spreadsheets/d/1xsp01RMmkav9iTy39Zaj_7tE9677EGlOJ14KU9TZn7I/"",""1985-2003!T4728"")"),39.7838574)</f>
        <v>39.783857400000002</v>
      </c>
      <c r="F234" s="75">
        <f ca="1">IFERROR(__xludf.DUMMYFUNCTION("$C228*IMPORTRANGE(""https://docs.google.com/spreadsheets/d/1xsp01RMmkav9iTy39Zaj_7tE9677EGlOJ14KU9TZn7I/"",""1985-2003!AC4728"")"),7496.613936)</f>
        <v>7496.6139359999997</v>
      </c>
      <c r="G234" s="72" t="s">
        <v>8</v>
      </c>
      <c r="H234" s="5"/>
      <c r="I234" s="5"/>
      <c r="J234" s="5"/>
      <c r="K234" s="2"/>
      <c r="L234" s="3"/>
      <c r="M234" s="52"/>
      <c r="N234" s="52"/>
      <c r="O234" s="52"/>
      <c r="P234" s="52"/>
      <c r="Q234" s="2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2" x14ac:dyDescent="0.25">
      <c r="A235" s="86" t="s">
        <v>236</v>
      </c>
      <c r="B235" s="58">
        <v>529</v>
      </c>
      <c r="C235" s="59">
        <f>55226.5/1000</f>
        <v>55.226500000000001</v>
      </c>
      <c r="D235" s="71">
        <f ca="1">IFERROR(__xludf.DUMMYFUNCTION("$C229*IMPORTRANGE(""https://docs.google.com/spreadsheets/d/1xsp01RMmkav9iTy39Zaj_7tE9677EGlOJ14KU9TZn7I/"",""1985-2003!H4752"")"),60.1306132)</f>
        <v>60.130613199999999</v>
      </c>
      <c r="E235" s="71">
        <f ca="1">IFERROR(__xludf.DUMMYFUNCTION("$C229*IMPORTRANGE(""https://docs.google.com/spreadsheets/d/1xsp01RMmkav9iTy39Zaj_7tE9677EGlOJ14KU9TZn7I/"",""1985-2003!T4752"")"),37.8522431)</f>
        <v>37.852243100000003</v>
      </c>
      <c r="F235" s="71">
        <f ca="1">IFERROR(__xludf.DUMMYFUNCTION("$C229*IMPORTRANGE(""https://docs.google.com/spreadsheets/d/1xsp01RMmkav9iTy39Zaj_7tE9677EGlOJ14KU9TZn7I/"",""1985-2003!AC4752"")"),7014.87003)</f>
        <v>7014.87003</v>
      </c>
      <c r="G235" s="57" t="s">
        <v>8</v>
      </c>
      <c r="H235" s="5"/>
      <c r="I235" s="5"/>
      <c r="J235" s="5"/>
      <c r="K235" s="2"/>
      <c r="L235" s="3"/>
      <c r="M235" s="52"/>
      <c r="N235" s="52"/>
      <c r="O235" s="52"/>
      <c r="P235" s="52"/>
      <c r="Q235" s="2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2" x14ac:dyDescent="0.25">
      <c r="A236" s="87" t="s">
        <v>237</v>
      </c>
      <c r="B236" s="73">
        <v>468</v>
      </c>
      <c r="C236" s="74">
        <f>39610.4/1000</f>
        <v>39.610399999999998</v>
      </c>
      <c r="D236" s="75">
        <f ca="1">IFERROR(__xludf.DUMMYFUNCTION("$C230*IMPORTRANGE(""https://docs.google.com/spreadsheets/d/1xsp01RMmkav9iTy39Zaj_7tE9677EGlOJ14KU9TZn7I/"",""1985-2003!H4773"")"),41.78303044)</f>
        <v>41.783030439999997</v>
      </c>
      <c r="E236" s="75">
        <f ca="1">IFERROR(__xludf.DUMMYFUNCTION("$C230*IMPORTRANGE(""https://docs.google.com/spreadsheets/d/1xsp01RMmkav9iTy39Zaj_7tE9677EGlOJ14KU9TZn7I/"",""1985-2003!T4773"")"),26.79049404)</f>
        <v>26.790494039999999</v>
      </c>
      <c r="F236" s="75">
        <f ca="1">IFERROR(__xludf.DUMMYFUNCTION("$C230*IMPORTRANGE(""https://docs.google.com/spreadsheets/d/1xsp01RMmkav9iTy39Zaj_7tE9677EGlOJ14KU9TZn7I/"",""1985-2003!AC4773"")"),4915.65064)</f>
        <v>4915.6506399999998</v>
      </c>
      <c r="G236" s="72" t="s">
        <v>8</v>
      </c>
      <c r="H236" s="5"/>
      <c r="I236" s="5"/>
      <c r="J236" s="5"/>
      <c r="K236" s="2"/>
      <c r="L236" s="3"/>
      <c r="M236" s="52"/>
      <c r="N236" s="52"/>
      <c r="O236" s="52"/>
      <c r="P236" s="52"/>
      <c r="Q236" s="2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2" x14ac:dyDescent="0.25">
      <c r="A237" s="86" t="s">
        <v>238</v>
      </c>
      <c r="B237" s="58">
        <v>482</v>
      </c>
      <c r="C237" s="59">
        <f>51811.6/1000</f>
        <v>51.811599999999999</v>
      </c>
      <c r="D237" s="71">
        <f ca="1">IFERROR(__xludf.DUMMYFUNCTION("$C231*IMPORTRANGE(""https://docs.google.com/spreadsheets/d/1xsp01RMmkav9iTy39Zaj_7tE9677EGlOJ14KU9TZn7I/"",""1985-2003!H4797"")"),52.2779043999999)</f>
        <v>52.277904399999898</v>
      </c>
      <c r="E237" s="71">
        <f ca="1">IFERROR(__xludf.DUMMYFUNCTION("$C231*IMPORTRANGE(""https://docs.google.com/spreadsheets/d/1xsp01RMmkav9iTy39Zaj_7tE9677EGlOJ14KU9TZn7I/"",""1985-2003!T4797"")"),33.14388052)</f>
        <v>33.143880520000003</v>
      </c>
      <c r="F237" s="71">
        <f ca="1">IFERROR(__xludf.DUMMYFUNCTION("$C231*IMPORTRANGE(""https://docs.google.com/spreadsheets/d/1xsp01RMmkav9iTy39Zaj_7tE9677EGlOJ14KU9TZn7I/"",""1985-2003!AC4797"")"),6095.63474)</f>
        <v>6095.6347400000004</v>
      </c>
      <c r="G237" s="57" t="s">
        <v>8</v>
      </c>
      <c r="H237" s="5"/>
      <c r="I237" s="5"/>
      <c r="J237" s="5"/>
      <c r="K237" s="2"/>
      <c r="L237" s="3"/>
      <c r="M237" s="52"/>
      <c r="N237" s="52"/>
      <c r="O237" s="52"/>
      <c r="P237" s="52"/>
      <c r="Q237" s="2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2" x14ac:dyDescent="0.25">
      <c r="A238" s="87" t="s">
        <v>239</v>
      </c>
      <c r="B238" s="73">
        <v>405</v>
      </c>
      <c r="C238" s="74">
        <f>46118.6/1000</f>
        <v>46.118600000000001</v>
      </c>
      <c r="D238" s="75">
        <f ca="1">IFERROR(__xludf.DUMMYFUNCTION("$C232*IMPORTRANGE(""https://docs.google.com/spreadsheets/d/1xsp01RMmkav9iTy39Zaj_7tE9677EGlOJ14KU9TZn7I/"",""1985-2003!H4820"")"),47.09862025)</f>
        <v>47.098620250000003</v>
      </c>
      <c r="E238" s="75">
        <f ca="1">IFERROR(__xludf.DUMMYFUNCTION("$C232*IMPORTRANGE(""https://docs.google.com/spreadsheets/d/1xsp01RMmkav9iTy39Zaj_7tE9677EGlOJ14KU9TZn7I/"",""1985-2003!T4820"")"),30.0462679)</f>
        <v>30.0462679</v>
      </c>
      <c r="F238" s="75">
        <f ca="1">IFERROR(__xludf.DUMMYFUNCTION("$C232*IMPORTRANGE(""https://docs.google.com/spreadsheets/d/1xsp01RMmkav9iTy39Zaj_7tE9677EGlOJ14KU9TZn7I/"",""1985-2003!AC4820"")"),5482.809761)</f>
        <v>5482.8097610000004</v>
      </c>
      <c r="G238" s="72" t="s">
        <v>8</v>
      </c>
      <c r="H238" s="5"/>
      <c r="I238" s="5"/>
      <c r="J238" s="5"/>
      <c r="K238" s="2"/>
      <c r="L238" s="3"/>
      <c r="M238" s="52"/>
      <c r="N238" s="52"/>
      <c r="O238" s="52"/>
      <c r="P238" s="52"/>
      <c r="Q238" s="2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2" x14ac:dyDescent="0.25">
      <c r="A239" s="86" t="s">
        <v>240</v>
      </c>
      <c r="B239" s="58">
        <v>452</v>
      </c>
      <c r="C239" s="59">
        <f>38672.2/1000</f>
        <v>38.672199999999997</v>
      </c>
      <c r="D239" s="71">
        <f ca="1">IFERROR(__xludf.DUMMYFUNCTION("$C233*IMPORTRANGE(""https://docs.google.com/spreadsheets/d/1xsp01RMmkav9iTy39Zaj_7tE9677EGlOJ14KU9TZn7I/"",""1985-2003!H4842"")"),39.43017512)</f>
        <v>39.430175120000001</v>
      </c>
      <c r="E239" s="71">
        <f ca="1">IFERROR(__xludf.DUMMYFUNCTION("$C233*IMPORTRANGE(""https://docs.google.com/spreadsheets/d/1xsp01RMmkav9iTy39Zaj_7tE9677EGlOJ14KU9TZn7I/"",""1985-2003!T4842"")"),24.83528684)</f>
        <v>24.835286839999998</v>
      </c>
      <c r="F239" s="71">
        <f ca="1">IFERROR(__xludf.DUMMYFUNCTION("$C233*IMPORTRANGE(""https://docs.google.com/spreadsheets/d/1xsp01RMmkav9iTy39Zaj_7tE9677EGlOJ14KU9TZn7I/"",""1985-2003!AC4842"")"),4695.965246)</f>
        <v>4695.9652459999998</v>
      </c>
      <c r="G239" s="57" t="s">
        <v>8</v>
      </c>
      <c r="H239" s="5"/>
      <c r="I239" s="5"/>
      <c r="J239" s="5"/>
      <c r="K239" s="2"/>
      <c r="L239" s="3"/>
      <c r="M239" s="52"/>
      <c r="N239" s="52"/>
      <c r="O239" s="52"/>
      <c r="P239" s="52"/>
      <c r="Q239" s="2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2" x14ac:dyDescent="0.25">
      <c r="A240" s="87" t="s">
        <v>241</v>
      </c>
      <c r="B240" s="73">
        <v>491</v>
      </c>
      <c r="C240" s="74">
        <f>44407.8/1000</f>
        <v>44.407800000000002</v>
      </c>
      <c r="D240" s="75">
        <f ca="1">IFERROR(__xludf.DUMMYFUNCTION("$C234*IMPORTRANGE(""https://docs.google.com/spreadsheets/d/1xsp01RMmkav9iTy39Zaj_7tE9677EGlOJ14KU9TZn7I/"",""1985-2003!H4866"")"),45.17605494)</f>
        <v>45.17605494</v>
      </c>
      <c r="E240" s="75">
        <f ca="1">IFERROR(__xludf.DUMMYFUNCTION("$C234*IMPORTRANGE(""https://docs.google.com/spreadsheets/d/1xsp01RMmkav9iTy39Zaj_7tE9677EGlOJ14KU9TZn7I/"",""1985-2003!T4866"")"),28.51424838)</f>
        <v>28.514248380000002</v>
      </c>
      <c r="F240" s="75">
        <f ca="1">IFERROR(__xludf.DUMMYFUNCTION("$C234*IMPORTRANGE(""https://docs.google.com/spreadsheets/d/1xsp01RMmkav9iTy39Zaj_7tE9677EGlOJ14KU9TZn7I/"",""1985-2003!AC4866"")"),5520.777696)</f>
        <v>5520.7776960000001</v>
      </c>
      <c r="G240" s="72" t="s">
        <v>8</v>
      </c>
      <c r="H240" s="5"/>
      <c r="I240" s="5"/>
      <c r="J240" s="5"/>
      <c r="K240" s="2"/>
      <c r="L240" s="3"/>
      <c r="M240" s="52"/>
      <c r="N240" s="52"/>
      <c r="O240" s="52"/>
      <c r="P240" s="52"/>
      <c r="Q240" s="2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2" x14ac:dyDescent="0.25">
      <c r="A241" s="86" t="s">
        <v>242</v>
      </c>
      <c r="B241" s="58">
        <v>428</v>
      </c>
      <c r="C241" s="59">
        <f>57092.8/1000</f>
        <v>57.092800000000004</v>
      </c>
      <c r="D241" s="71">
        <f ca="1">IFERROR(__xludf.DUMMYFUNCTION("$C235*IMPORTRANGE(""https://docs.google.com/spreadsheets/d/1xsp01RMmkav9iTy39Zaj_7tE9677EGlOJ14KU9TZn7I/"",""1985-2003!H4888"")"),56.98432368)</f>
        <v>56.984323680000003</v>
      </c>
      <c r="E241" s="71">
        <f ca="1">IFERROR(__xludf.DUMMYFUNCTION("$C235*IMPORTRANGE(""https://docs.google.com/spreadsheets/d/1xsp01RMmkav9iTy39Zaj_7tE9677EGlOJ14KU9TZn7I/"",""1985-2003!T4888"")"),36.15116096)</f>
        <v>36.151160959999999</v>
      </c>
      <c r="F241" s="71">
        <f ca="1">IFERROR(__xludf.DUMMYFUNCTION("$C235*IMPORTRANGE(""https://docs.google.com/spreadsheets/d/1xsp01RMmkav9iTy39Zaj_7tE9677EGlOJ14KU9TZn7I/"",""1985-2003!AC4888"")"),6958.470464)</f>
        <v>6958.470464</v>
      </c>
      <c r="G241" s="57" t="s">
        <v>8</v>
      </c>
      <c r="H241" s="5"/>
      <c r="I241" s="5"/>
      <c r="J241" s="5"/>
      <c r="K241" s="2"/>
      <c r="L241" s="3"/>
      <c r="M241" s="52"/>
      <c r="N241" s="52"/>
      <c r="O241" s="52"/>
      <c r="P241" s="52"/>
      <c r="Q241" s="2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2" x14ac:dyDescent="0.25">
      <c r="A242" s="88" t="s">
        <v>243</v>
      </c>
      <c r="B242" s="77">
        <v>774</v>
      </c>
      <c r="C242" s="78">
        <f>70225/1000</f>
        <v>70.224999999999994</v>
      </c>
      <c r="D242" s="79">
        <f ca="1">IFERROR(__xludf.DUMMYFUNCTION("$C236*IMPORTRANGE(""https://docs.google.com/spreadsheets/d/1xsp01RMmkav9iTy39Zaj_7tE9677EGlOJ14KU9TZn7I/"",""1985-2003!H4911"")"),68.51151)</f>
        <v>68.511510000000001</v>
      </c>
      <c r="E242" s="79">
        <f ca="1">IFERROR(__xludf.DUMMYFUNCTION("$C236*IMPORTRANGE(""https://docs.google.com/spreadsheets/d/1xsp01RMmkav9iTy39Zaj_7tE9677EGlOJ14KU9TZn7I/"",""1985-2003!T4911"")"),44.10481125)</f>
        <v>44.104811249999997</v>
      </c>
      <c r="F242" s="79">
        <f ca="1">IFERROR(__xludf.DUMMYFUNCTION("$C236*IMPORTRANGE(""https://docs.google.com/spreadsheets/d/1xsp01RMmkav9iTy39Zaj_7tE9677EGlOJ14KU9TZn7I/"",""1985-2003!AC4911"")"),8510.918875)</f>
        <v>8510.9188749999994</v>
      </c>
      <c r="G242" s="76" t="s">
        <v>8</v>
      </c>
      <c r="H242" s="5"/>
      <c r="I242" s="5"/>
      <c r="J242" s="5"/>
      <c r="K242" s="2"/>
      <c r="L242" s="3"/>
      <c r="M242" s="52"/>
      <c r="N242" s="52"/>
      <c r="O242" s="52"/>
      <c r="P242" s="52"/>
      <c r="Q242" s="2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2" x14ac:dyDescent="0.25">
      <c r="A243" s="68">
        <v>2003</v>
      </c>
      <c r="B243" s="69"/>
      <c r="C243" s="70"/>
      <c r="D243" s="70"/>
      <c r="E243" s="70"/>
      <c r="F243" s="70"/>
      <c r="G243" s="68"/>
      <c r="K243" s="2"/>
      <c r="L243" s="3"/>
      <c r="M243" s="52"/>
      <c r="N243" s="52"/>
      <c r="O243" s="52"/>
      <c r="P243" s="52"/>
      <c r="Q243" s="2"/>
    </row>
    <row r="244" spans="1:26" ht="13.2" x14ac:dyDescent="0.25">
      <c r="A244" s="86" t="s">
        <v>244</v>
      </c>
      <c r="B244" s="89">
        <v>470</v>
      </c>
      <c r="C244" s="59">
        <f>45578.9/1000</f>
        <v>45.578900000000004</v>
      </c>
      <c r="D244" s="71">
        <f ca="1">IFERROR(__xludf.DUMMYFUNCTION("$C238*IMPORTRANGE(""https://docs.google.com/spreadsheets/d/1xsp01RMmkav9iTy39Zaj_7tE9677EGlOJ14KU9TZn7I/"",""1985-2003!H4936"")"),42.82593444)</f>
        <v>42.825934439999997</v>
      </c>
      <c r="E244" s="71">
        <f ca="1">IFERROR(__xludf.DUMMYFUNCTION("$C238*IMPORTRANGE(""https://docs.google.com/spreadsheets/d/1xsp01RMmkav9iTy39Zaj_7tE9677EGlOJ14KU9TZn7I/"",""1985-2003!T4936"")"),28.17687598)</f>
        <v>28.176875979999998</v>
      </c>
      <c r="F244" s="71">
        <f ca="1">IFERROR(__xludf.DUMMYFUNCTION("$C238*IMPORTRANGE(""https://docs.google.com/spreadsheets/d/1xsp01RMmkav9iTy39Zaj_7tE9677EGlOJ14KU9TZn7I/"",""1985-2003!AC4936"")"),5409.303852)</f>
        <v>5409.303852</v>
      </c>
      <c r="G244" s="57" t="s">
        <v>8</v>
      </c>
      <c r="K244" s="2"/>
      <c r="L244" s="3"/>
      <c r="M244" s="52"/>
      <c r="N244" s="52"/>
      <c r="O244" s="52"/>
      <c r="P244" s="52"/>
      <c r="Q244" s="2"/>
    </row>
    <row r="245" spans="1:26" ht="13.2" x14ac:dyDescent="0.25">
      <c r="A245" s="87" t="s">
        <v>245</v>
      </c>
      <c r="B245" s="90">
        <v>413</v>
      </c>
      <c r="C245" s="74">
        <f>38837.2/1000</f>
        <v>38.837199999999996</v>
      </c>
      <c r="D245" s="75">
        <f ca="1">IFERROR(__xludf.DUMMYFUNCTION("$C239*IMPORTRANGE(""https://docs.google.com/spreadsheets/d/1xsp01RMmkav9iTy39Zaj_7tE9677EGlOJ14KU9TZn7I/"",""1985-2003!H4957"")"),36.01761928)</f>
        <v>36.017619279999998</v>
      </c>
      <c r="E245" s="75">
        <f ca="1">IFERROR(__xludf.DUMMYFUNCTION("$C239*IMPORTRANGE(""https://docs.google.com/spreadsheets/d/1xsp01RMmkav9iTy39Zaj_7tE9677EGlOJ14KU9TZn7I/"",""1985-2003!T4957"")"),24.0091570399999)</f>
        <v>24.009157039999899</v>
      </c>
      <c r="F245" s="75">
        <f ca="1">IFERROR(__xludf.DUMMYFUNCTION("$C239*IMPORTRANGE(""https://docs.google.com/spreadsheets/d/1xsp01RMmkav9iTy39Zaj_7tE9677EGlOJ14KU9TZn7I/"",""1985-2003!AC4957"")"),4653.27911799999)</f>
        <v>4653.2791179999904</v>
      </c>
      <c r="G245" s="72" t="s">
        <v>8</v>
      </c>
      <c r="K245" s="2"/>
      <c r="L245" s="3"/>
      <c r="M245" s="52"/>
      <c r="N245" s="52"/>
      <c r="O245" s="52"/>
      <c r="P245" s="52"/>
      <c r="Q245" s="2"/>
    </row>
    <row r="246" spans="1:26" ht="13.2" x14ac:dyDescent="0.25">
      <c r="A246" s="86" t="s">
        <v>246</v>
      </c>
      <c r="B246" s="89">
        <v>507</v>
      </c>
      <c r="C246" s="59">
        <f>45366.4/1000</f>
        <v>45.366399999999999</v>
      </c>
      <c r="D246" s="71">
        <f ca="1">IFERROR(__xludf.DUMMYFUNCTION("$C240*IMPORTRANGE(""https://docs.google.com/spreadsheets/d/1xsp01RMmkav9iTy39Zaj_7tE9677EGlOJ14KU9TZn7I/"",""1985-2003!H4979"")"),42.07279936)</f>
        <v>42.072799359999998</v>
      </c>
      <c r="E246" s="71">
        <f ca="1">IFERROR(__xludf.DUMMYFUNCTION("$C240*IMPORTRANGE(""https://docs.google.com/spreadsheets/d/1xsp01RMmkav9iTy39Zaj_7tE9677EGlOJ14KU9TZn7I/"",""1985-2003!T4979"")"),28.6398083199999)</f>
        <v>28.639808319999901</v>
      </c>
      <c r="F246" s="71">
        <f ca="1">IFERROR(__xludf.DUMMYFUNCTION("$C240*IMPORTRANGE(""https://docs.google.com/spreadsheets/d/1xsp01RMmkav9iTy39Zaj_7tE9677EGlOJ14KU9TZn7I/"",""1985-2003!AC4979"")"),5378.640384)</f>
        <v>5378.6403840000003</v>
      </c>
      <c r="G246" s="57" t="s">
        <v>8</v>
      </c>
      <c r="K246" s="2"/>
      <c r="L246" s="3"/>
      <c r="M246" s="52"/>
      <c r="N246" s="52"/>
      <c r="O246" s="52"/>
      <c r="P246" s="52"/>
      <c r="Q246" s="2"/>
    </row>
    <row r="247" spans="1:26" ht="13.2" x14ac:dyDescent="0.25">
      <c r="A247" s="87" t="s">
        <v>247</v>
      </c>
      <c r="B247" s="90">
        <v>452</v>
      </c>
      <c r="C247" s="74">
        <f>59277/1000</f>
        <v>59.277000000000001</v>
      </c>
      <c r="D247" s="75">
        <f ca="1">IFERROR(__xludf.DUMMYFUNCTION("$C241*IMPORTRANGE(""https://docs.google.com/spreadsheets/d/1xsp01RMmkav9iTy39Zaj_7tE9677EGlOJ14KU9TZn7I/"",""1985-2003!H5002"")"),54.52002075)</f>
        <v>54.52002075</v>
      </c>
      <c r="E247" s="75">
        <f ca="1">IFERROR(__xludf.DUMMYFUNCTION("$C241*IMPORTRANGE(""https://docs.google.com/spreadsheets/d/1xsp01RMmkav9iTy39Zaj_7tE9677EGlOJ14KU9TZn7I/"",""1985-2003!T5002"")"),37.53716025)</f>
        <v>37.537160249999999</v>
      </c>
      <c r="F247" s="75">
        <f ca="1">IFERROR(__xludf.DUMMYFUNCTION("$C241*IMPORTRANGE(""https://docs.google.com/spreadsheets/d/1xsp01RMmkav9iTy39Zaj_7tE9677EGlOJ14KU9TZn7I/"",""1985-2003!AC5002"")"),7107.608685)</f>
        <v>7107.6086850000002</v>
      </c>
      <c r="G247" s="72" t="s">
        <v>8</v>
      </c>
      <c r="K247" s="2"/>
      <c r="L247" s="3"/>
      <c r="M247" s="52"/>
      <c r="N247" s="52"/>
      <c r="O247" s="52"/>
      <c r="P247" s="52"/>
      <c r="Q247" s="2"/>
    </row>
    <row r="248" spans="1:26" ht="13.2" x14ac:dyDescent="0.25">
      <c r="A248" s="86" t="s">
        <v>248</v>
      </c>
      <c r="B248" s="89">
        <v>495</v>
      </c>
      <c r="C248" s="59">
        <f>89051.4/1000</f>
        <v>89.051400000000001</v>
      </c>
      <c r="D248" s="71">
        <f ca="1">IFERROR(__xludf.DUMMYFUNCTION("$C242*IMPORTRANGE(""https://docs.google.com/spreadsheets/d/1xsp01RMmkav9iTy39Zaj_7tE9677EGlOJ14KU9TZn7I/"",""1985-2003!H5025"")"),76.90033647)</f>
        <v>76.900336469999999</v>
      </c>
      <c r="E248" s="71">
        <f ca="1">IFERROR(__xludf.DUMMYFUNCTION("$C242*IMPORTRANGE(""https://docs.google.com/spreadsheets/d/1xsp01RMmkav9iTy39Zaj_7tE9677EGlOJ14KU9TZn7I/"",""1985-2003!T5025"")"),54.65974932)</f>
        <v>54.659749320000003</v>
      </c>
      <c r="F248" s="71">
        <f ca="1">IFERROR(__xludf.DUMMYFUNCTION("$C242*IMPORTRANGE(""https://docs.google.com/spreadsheets/d/1xsp01RMmkav9iTy39Zaj_7tE9677EGlOJ14KU9TZn7I/"",""1985-2003!AC5025"")"),10432.816767)</f>
        <v>10432.816767</v>
      </c>
      <c r="G248" s="57" t="s">
        <v>8</v>
      </c>
      <c r="K248" s="2"/>
      <c r="L248" s="3"/>
      <c r="M248" s="52"/>
      <c r="N248" s="52"/>
      <c r="O248" s="52"/>
      <c r="P248" s="52"/>
      <c r="Q248" s="2"/>
    </row>
    <row r="249" spans="1:26" ht="13.2" x14ac:dyDescent="0.25">
      <c r="A249" s="87" t="s">
        <v>249</v>
      </c>
      <c r="B249" s="90">
        <v>540</v>
      </c>
      <c r="C249" s="74">
        <f>54905.7/1000</f>
        <v>54.905699999999996</v>
      </c>
      <c r="D249" s="75">
        <f ca="1">IFERROR(__xludf.DUMMYFUNCTION("$C243*IMPORTRANGE(""https://docs.google.com/spreadsheets/d/1xsp01RMmkav9iTy39Zaj_7tE9677EGlOJ14KU9TZn7I/"",""1985-2003!H5047"")"),46.92790179)</f>
        <v>46.92790179</v>
      </c>
      <c r="E249" s="75">
        <f ca="1">IFERROR(__xludf.DUMMYFUNCTION("$C243*IMPORTRANGE(""https://docs.google.com/spreadsheets/d/1xsp01RMmkav9iTy39Zaj_7tE9677EGlOJ14KU9TZn7I/"",""1985-2003!T5047"")"),32.85008031)</f>
        <v>32.850080310000003</v>
      </c>
      <c r="F249" s="75">
        <f ca="1">IFERROR(__xludf.DUMMYFUNCTION("$C243*IMPORTRANGE(""https://docs.google.com/spreadsheets/d/1xsp01RMmkav9iTy39Zaj_7tE9677EGlOJ14KU9TZn7I/"",""1985-2003!AC5047"")"),6487.108455)</f>
        <v>6487.1084549999996</v>
      </c>
      <c r="G249" s="72" t="s">
        <v>8</v>
      </c>
      <c r="K249" s="2"/>
      <c r="L249" s="3"/>
      <c r="M249" s="52"/>
      <c r="N249" s="52"/>
      <c r="O249" s="52"/>
      <c r="P249" s="52"/>
      <c r="Q249" s="2"/>
    </row>
    <row r="250" spans="1:26" ht="13.2" x14ac:dyDescent="0.25">
      <c r="A250" s="86" t="s">
        <v>250</v>
      </c>
      <c r="B250" s="89">
        <v>589</v>
      </c>
      <c r="C250" s="59">
        <f>57732.5/1000</f>
        <v>57.732500000000002</v>
      </c>
      <c r="D250" s="71">
        <f ca="1">IFERROR(__xludf.DUMMYFUNCTION("$C244*IMPORTRANGE(""https://docs.google.com/spreadsheets/d/1xsp01RMmkav9iTy39Zaj_7tE9677EGlOJ14KU9TZn7I/"",""1985-2003!H5071"")"),50.86810575)</f>
        <v>50.868105749999998</v>
      </c>
      <c r="E250" s="71">
        <f ca="1">IFERROR(__xludf.DUMMYFUNCTION("$C244*IMPORTRANGE(""https://docs.google.com/spreadsheets/d/1xsp01RMmkav9iTy39Zaj_7tE9677EGlOJ14KU9TZn7I/"",""1985-2003!T5071"")"),35.41888875)</f>
        <v>35.418888750000001</v>
      </c>
      <c r="F250" s="71">
        <f ca="1">IFERROR(__xludf.DUMMYFUNCTION("$C244*IMPORTRANGE(""https://docs.google.com/spreadsheets/d/1xsp01RMmkav9iTy39Zaj_7tE9677EGlOJ14KU9TZn7I/"",""1985-2003!AC5071"")"),6841.30125)</f>
        <v>6841.3012500000004</v>
      </c>
      <c r="G250" s="57" t="s">
        <v>8</v>
      </c>
      <c r="K250" s="2"/>
      <c r="L250" s="3"/>
      <c r="M250" s="52"/>
      <c r="N250" s="52"/>
      <c r="O250" s="52"/>
      <c r="P250" s="52"/>
      <c r="Q250" s="2"/>
    </row>
    <row r="251" spans="1:26" ht="13.2" x14ac:dyDescent="0.25">
      <c r="A251" s="87" t="s">
        <v>251</v>
      </c>
      <c r="B251" s="81">
        <v>423</v>
      </c>
      <c r="C251" s="74">
        <f>36421.7/1000</f>
        <v>36.421699999999994</v>
      </c>
      <c r="D251" s="75">
        <f ca="1">IFERROR(__xludf.DUMMYFUNCTION("$C245*IMPORTRANGE(""https://docs.google.com/spreadsheets/d/1xsp01RMmkav9iTy39Zaj_7tE9677EGlOJ14KU9TZn7I/"",""1985-2003!H5093"")"),32.3461117699999)</f>
        <v>32.346111769999901</v>
      </c>
      <c r="E251" s="75">
        <f ca="1">IFERROR(__xludf.DUMMYFUNCTION("$C245*IMPORTRANGE(""https://docs.google.com/spreadsheets/d/1xsp01RMmkav9iTy39Zaj_7tE9677EGlOJ14KU9TZn7I/"",""1985-2003!T5093"")"),22.7016456099999)</f>
        <v>22.7016456099999</v>
      </c>
      <c r="F251" s="75">
        <f ca="1">IFERROR(__xludf.DUMMYFUNCTION("$C245*IMPORTRANGE(""https://docs.google.com/spreadsheets/d/1xsp01RMmkav9iTy39Zaj_7tE9677EGlOJ14KU9TZn7I/"",""1985-2003!AC5093"")"),4324.34844099999)</f>
        <v>4324.3484409999901</v>
      </c>
      <c r="G251" s="72" t="s">
        <v>8</v>
      </c>
      <c r="K251" s="2"/>
      <c r="L251" s="3"/>
      <c r="M251" s="52"/>
      <c r="N251" s="52"/>
      <c r="O251" s="52"/>
      <c r="P251" s="52"/>
      <c r="Q251" s="2"/>
    </row>
    <row r="252" spans="1:26" ht="13.2" x14ac:dyDescent="0.25">
      <c r="A252" s="86" t="s">
        <v>252</v>
      </c>
      <c r="B252" s="89">
        <v>529</v>
      </c>
      <c r="C252" s="59">
        <f>57681/1000</f>
        <v>57.680999999999997</v>
      </c>
      <c r="D252" s="71">
        <f ca="1">IFERROR(__xludf.DUMMYFUNCTION("$C246*IMPORTRANGE(""https://docs.google.com/spreadsheets/d/1xsp01RMmkav9iTy39Zaj_7tE9677EGlOJ14KU9TZn7I/"",""1985-2003!H5116"")"),51.1976556)</f>
        <v>51.197655599999997</v>
      </c>
      <c r="E252" s="71">
        <f ca="1">IFERROR(__xludf.DUMMYFUNCTION("$C246*IMPORTRANGE(""https://docs.google.com/spreadsheets/d/1xsp01RMmkav9iTy39Zaj_7tE9677EGlOJ14KU9TZn7I/"",""1985-2003!T5116"")"),35.8804660499999)</f>
        <v>35.880466049999903</v>
      </c>
      <c r="F252" s="71">
        <f ca="1">IFERROR(__xludf.DUMMYFUNCTION("$C246*IMPORTRANGE(""https://docs.google.com/spreadsheets/d/1xsp01RMmkav9iTy39Zaj_7tE9677EGlOJ14KU9TZn7I/"",""1985-2003!AC5116"")"),6697.91772)</f>
        <v>6697.9177200000004</v>
      </c>
      <c r="G252" s="57" t="s">
        <v>8</v>
      </c>
      <c r="K252" s="2"/>
      <c r="L252" s="3"/>
      <c r="M252" s="52"/>
      <c r="N252" s="52"/>
      <c r="O252" s="52"/>
      <c r="P252" s="52"/>
      <c r="Q252" s="2"/>
    </row>
    <row r="253" spans="1:26" ht="13.2" x14ac:dyDescent="0.25">
      <c r="A253" s="87" t="s">
        <v>253</v>
      </c>
      <c r="B253" s="90">
        <v>577</v>
      </c>
      <c r="C253" s="74">
        <f>131996.3/1000</f>
        <v>131.99629999999999</v>
      </c>
      <c r="D253" s="75">
        <f ca="1">IFERROR(__xludf.DUMMYFUNCTION("$C247*IMPORTRANGE(""https://docs.google.com/spreadsheets/d/1xsp01RMmkav9iTy39Zaj_7tE9677EGlOJ14KU9TZn7I/"",""1985-2003!H5140"")"),112.69844094)</f>
        <v>112.69844094</v>
      </c>
      <c r="E253" s="75">
        <f ca="1">IFERROR(__xludf.DUMMYFUNCTION("$C247*IMPORTRANGE(""https://docs.google.com/spreadsheets/d/1xsp01RMmkav9iTy39Zaj_7tE9677EGlOJ14KU9TZn7I/"",""1985-2003!T5140"")"),78.64339554)</f>
        <v>78.64339554</v>
      </c>
      <c r="F253" s="75">
        <f ca="1">IFERROR(__xludf.DUMMYFUNCTION("$C247*IMPORTRANGE(""https://docs.google.com/spreadsheets/d/1xsp01RMmkav9iTy39Zaj_7tE9677EGlOJ14KU9TZn7I/"",""1985-2003!AC5140"")"),14449.634961)</f>
        <v>14449.634961</v>
      </c>
      <c r="G253" s="72" t="s">
        <v>8</v>
      </c>
      <c r="K253" s="2"/>
      <c r="L253" s="3"/>
      <c r="M253" s="52"/>
      <c r="N253" s="52"/>
      <c r="O253" s="52"/>
      <c r="P253" s="52"/>
      <c r="Q253" s="2"/>
    </row>
    <row r="254" spans="1:26" ht="13.2" x14ac:dyDescent="0.25">
      <c r="A254" s="86" t="s">
        <v>254</v>
      </c>
      <c r="B254" s="89">
        <v>587</v>
      </c>
      <c r="C254" s="59">
        <f>71864.2/1000</f>
        <v>71.864199999999997</v>
      </c>
      <c r="D254" s="71">
        <f ca="1">IFERROR(__xludf.DUMMYFUNCTION("$C248*IMPORTRANGE(""https://docs.google.com/spreadsheets/d/1xsp01RMmkav9iTy39Zaj_7tE9677EGlOJ14KU9TZn7I/"",""1985-2003!H5161"")"),61.1240953099999)</f>
        <v>61.124095309999902</v>
      </c>
      <c r="E254" s="71">
        <f ca="1">IFERROR(__xludf.DUMMYFUNCTION("$C248*IMPORTRANGE(""https://docs.google.com/spreadsheets/d/1xsp01RMmkav9iTy39Zaj_7tE9677EGlOJ14KU9TZn7I/"",""1985-2003!T5161"")"),42.36035269)</f>
        <v>42.360352689999999</v>
      </c>
      <c r="F254" s="71">
        <f ca="1">IFERROR(__xludf.DUMMYFUNCTION("$C248*IMPORTRANGE(""https://docs.google.com/spreadsheets/d/1xsp01RMmkav9iTy39Zaj_7tE9677EGlOJ14KU9TZn7I/"",""1985-2003!AC5161"")"),7838.58761499999)</f>
        <v>7838.5876149999904</v>
      </c>
      <c r="G254" s="57" t="s">
        <v>8</v>
      </c>
      <c r="K254" s="2"/>
      <c r="L254" s="3"/>
      <c r="M254" s="52"/>
      <c r="N254" s="52"/>
      <c r="O254" s="52"/>
      <c r="P254" s="52"/>
      <c r="Q254" s="2"/>
    </row>
    <row r="255" spans="1:26" ht="13.2" x14ac:dyDescent="0.25">
      <c r="A255" s="88" t="s">
        <v>255</v>
      </c>
      <c r="B255" s="91">
        <v>970</v>
      </c>
      <c r="C255" s="78">
        <f>61484.4/1000</f>
        <v>61.484400000000001</v>
      </c>
      <c r="D255" s="79">
        <f ca="1">IFERROR(__xludf.DUMMYFUNCTION("$C249*IMPORTRANGE(""https://docs.google.com/spreadsheets/d/1xsp01RMmkav9iTy39Zaj_7tE9677EGlOJ14KU9TZn7I/"",""1985-2003!H5185"")"),49.90073904)</f>
        <v>49.900739039999998</v>
      </c>
      <c r="E255" s="79">
        <f ca="1">IFERROR(__xludf.DUMMYFUNCTION("$C249*IMPORTRANGE(""https://docs.google.com/spreadsheets/d/1xsp01RMmkav9iTy39Zaj_7tE9677EGlOJ14KU9TZn7I/"",""1985-2003!H5185"")"),49.90073904)</f>
        <v>49.900739039999998</v>
      </c>
      <c r="F255" s="79">
        <f ca="1">IFERROR(__xludf.DUMMYFUNCTION("$C249*IMPORTRANGE(""https://docs.google.com/spreadsheets/d/1xsp01RMmkav9iTy39Zaj_7tE9677EGlOJ14KU9TZn7I/"",""1985-2003!H5185"")"),49.90073904)</f>
        <v>49.900739039999998</v>
      </c>
      <c r="G255" s="76" t="s">
        <v>8</v>
      </c>
      <c r="K255" s="2"/>
      <c r="L255" s="3"/>
      <c r="M255" s="52"/>
      <c r="N255" s="52"/>
      <c r="O255" s="52"/>
      <c r="P255" s="52"/>
      <c r="Q255" s="2"/>
    </row>
    <row r="256" spans="1:26" ht="13.2" x14ac:dyDescent="0.25">
      <c r="A256" s="68">
        <v>2004</v>
      </c>
      <c r="B256" s="69"/>
      <c r="C256" s="92"/>
      <c r="D256" s="92"/>
      <c r="E256" s="92"/>
      <c r="F256" s="92"/>
      <c r="G256" s="68"/>
      <c r="K256" s="2"/>
      <c r="L256" s="3"/>
      <c r="M256" s="52"/>
      <c r="N256" s="52"/>
      <c r="O256" s="52"/>
      <c r="P256" s="52"/>
      <c r="Q256" s="2"/>
    </row>
    <row r="257" spans="1:17" ht="13.2" x14ac:dyDescent="0.25">
      <c r="A257" s="86" t="s">
        <v>256</v>
      </c>
      <c r="B257" s="89">
        <v>519</v>
      </c>
      <c r="C257" s="59">
        <f>91189.9/1000</f>
        <v>91.189899999999994</v>
      </c>
      <c r="D257" s="71">
        <f ca="1">IFERROR(__xludf.DUMMYFUNCTION("$C251*IMPORTRANGE(""https://docs.google.com/spreadsheets/d/1xsp01RMmkav9iTy39Zaj_7tE9677EGlOJ14KU9TZn7I/"",""2004-2017!H24"")"),72.2643481539999)</f>
        <v>72.264348153999904</v>
      </c>
      <c r="E257" s="71">
        <f ca="1">IFERROR(__xludf.DUMMYFUNCTION("$C251*IMPORTRANGE(""https://docs.google.com/spreadsheets/d/1xsp01RMmkav9iTy39Zaj_7tE9677EGlOJ14KU9TZn7I/"",""2004-2017!T24"")"),50.0153804025)</f>
        <v>50.0153804025</v>
      </c>
      <c r="F257" s="71">
        <f ca="1">IFERROR(__xludf.DUMMYFUNCTION("$C251*IMPORTRANGE(""https://docs.google.com/spreadsheets/d/1xsp01RMmkav9iTy39Zaj_7tE9677EGlOJ14KU9TZn7I/"",""2004-2017!AC24"")"),9689.38259652524)</f>
        <v>9689.3825965252399</v>
      </c>
      <c r="G257" s="57" t="s">
        <v>8</v>
      </c>
      <c r="K257" s="2"/>
      <c r="L257" s="3"/>
      <c r="M257" s="52"/>
      <c r="N257" s="52"/>
      <c r="O257" s="52"/>
      <c r="P257" s="52"/>
      <c r="Q257" s="2"/>
    </row>
    <row r="258" spans="1:17" ht="13.2" x14ac:dyDescent="0.25">
      <c r="A258" s="87" t="s">
        <v>257</v>
      </c>
      <c r="B258" s="90">
        <v>514</v>
      </c>
      <c r="C258" s="74">
        <f>190140.4/1000</f>
        <v>190.1404</v>
      </c>
      <c r="D258" s="75">
        <f ca="1">IFERROR(__xludf.DUMMYFUNCTION("$C252*IMPORTRANGE(""https://docs.google.com/spreadsheets/d/1xsp01RMmkav9iTy39Zaj_7tE9677EGlOJ14KU9TZn7I/"",""2004-2017!H45"")"),149.93521242)</f>
        <v>149.93521242</v>
      </c>
      <c r="E258" s="75">
        <f ca="1">IFERROR(__xludf.DUMMYFUNCTION("$C252*IMPORTRANGE(""https://docs.google.com/spreadsheets/d/1xsp01RMmkav9iTy39Zaj_7tE9677EGlOJ14KU9TZn7I/"",""2004-2017!T45"")"),101.736522424)</f>
        <v>101.736522424</v>
      </c>
      <c r="F258" s="75">
        <f ca="1">IFERROR(__xludf.DUMMYFUNCTION("$C252*IMPORTRANGE(""https://docs.google.com/spreadsheets/d/1xsp01RMmkav9iTy39Zaj_7tE9677EGlOJ14KU9TZn7I/"",""2004-2017!AC45"")"),20083.57975)</f>
        <v>20083.579750000001</v>
      </c>
      <c r="G258" s="72" t="s">
        <v>8</v>
      </c>
      <c r="K258" s="2"/>
      <c r="L258" s="3"/>
      <c r="M258" s="52"/>
      <c r="N258" s="52"/>
      <c r="O258" s="52"/>
      <c r="P258" s="52"/>
      <c r="Q258" s="2"/>
    </row>
    <row r="259" spans="1:17" ht="13.2" x14ac:dyDescent="0.25">
      <c r="A259" s="86" t="s">
        <v>258</v>
      </c>
      <c r="B259" s="89">
        <v>689</v>
      </c>
      <c r="C259" s="59">
        <f>71161.4/1000</f>
        <v>71.1614</v>
      </c>
      <c r="D259" s="71">
        <f ca="1">IFERROR(__xludf.DUMMYFUNCTION("$C253*IMPORTRANGE(""https://docs.google.com/spreadsheets/d/1xsp01RMmkav9iTy39Zaj_7tE9677EGlOJ14KU9TZn7I/"",""2004-2017!H69"")"),58.038526226)</f>
        <v>58.038526226000002</v>
      </c>
      <c r="E259" s="71">
        <f ca="1">IFERROR(__xludf.DUMMYFUNCTION("$C253*IMPORTRANGE(""https://docs.google.com/spreadsheets/d/1xsp01RMmkav9iTy39Zaj_7tE9677EGlOJ14KU9TZn7I/"",""2004-2017!T69"")"),38.969405868)</f>
        <v>38.969405868000003</v>
      </c>
      <c r="F259" s="71">
        <f ca="1">IFERROR(__xludf.DUMMYFUNCTION("$C253*IMPORTRANGE(""https://docs.google.com/spreadsheets/d/1xsp01RMmkav9iTy39Zaj_7tE9677EGlOJ14KU9TZn7I/"",""2004-2017!AC69"")"),7735.9557228386)</f>
        <v>7735.9557228386002</v>
      </c>
      <c r="G259" s="57" t="s">
        <v>8</v>
      </c>
      <c r="K259" s="2"/>
      <c r="L259" s="3"/>
      <c r="M259" s="52"/>
      <c r="N259" s="52"/>
      <c r="O259" s="52"/>
      <c r="P259" s="52"/>
      <c r="Q259" s="2"/>
    </row>
    <row r="260" spans="1:17" ht="13.2" x14ac:dyDescent="0.25">
      <c r="A260" s="87" t="s">
        <v>259</v>
      </c>
      <c r="B260" s="90">
        <v>599</v>
      </c>
      <c r="C260" s="74">
        <f>65662.7/1000</f>
        <v>65.662700000000001</v>
      </c>
      <c r="D260" s="75">
        <f ca="1">IFERROR(__xludf.DUMMYFUNCTION("$C254*IMPORTRANGE(""https://docs.google.com/spreadsheets/d/1xsp01RMmkav9iTy39Zaj_7tE9677EGlOJ14KU9TZn7I/"",""2004-2017!H92"")"),54.787643626)</f>
        <v>54.787643625999998</v>
      </c>
      <c r="E260" s="75">
        <f ca="1">IFERROR(__xludf.DUMMYFUNCTION("$C254*IMPORTRANGE(""https://docs.google.com/spreadsheets/d/1xsp01RMmkav9iTy39Zaj_7tE9677EGlOJ14KU9TZn7I/"",""2004-2017!T92"")"),36.5994040395)</f>
        <v>36.599404039500001</v>
      </c>
      <c r="F260" s="75">
        <f ca="1">IFERROR(__xludf.DUMMYFUNCTION("$C254*IMPORTRANGE(""https://docs.google.com/spreadsheets/d/1xsp01RMmkav9iTy39Zaj_7tE9677EGlOJ14KU9TZn7I/"",""2004-2017!AC92"")"),7111.2703443373)</f>
        <v>7111.2703443373002</v>
      </c>
      <c r="G260" s="72" t="s">
        <v>8</v>
      </c>
      <c r="K260" s="2"/>
      <c r="L260" s="3"/>
      <c r="M260" s="52"/>
      <c r="N260" s="52"/>
      <c r="O260" s="52"/>
      <c r="P260" s="52"/>
      <c r="Q260" s="2"/>
    </row>
    <row r="261" spans="1:17" ht="13.2" x14ac:dyDescent="0.25">
      <c r="A261" s="86" t="s">
        <v>260</v>
      </c>
      <c r="B261" s="89">
        <v>583</v>
      </c>
      <c r="C261" s="59">
        <f>78325.1/1000</f>
        <v>78.325100000000006</v>
      </c>
      <c r="D261" s="71">
        <f ca="1">IFERROR(__xludf.DUMMYFUNCTION("$C255*IMPORTRANGE(""https://docs.google.com/spreadsheets/d/1xsp01RMmkav9iTy39Zaj_7tE9677EGlOJ14KU9TZn7I/"",""2004-2017!H114"")"),65.249507806)</f>
        <v>65.249507805999997</v>
      </c>
      <c r="E261" s="71">
        <f ca="1">IFERROR(__xludf.DUMMYFUNCTION("$C255*IMPORTRANGE(""https://docs.google.com/spreadsheets/d/1xsp01RMmkav9iTy39Zaj_7tE9677EGlOJ14KU9TZn7I/"",""2004-2017!T114"")"),43.776681641)</f>
        <v>43.776681641000003</v>
      </c>
      <c r="F261" s="71">
        <f ca="1">IFERROR(__xludf.DUMMYFUNCTION("$C255*IMPORTRANGE(""https://docs.google.com/spreadsheets/d/1xsp01RMmkav9iTy39Zaj_7tE9677EGlOJ14KU9TZn7I/"",""2004-2017!AC114"")"),8799.0414206996)</f>
        <v>8799.0414206995993</v>
      </c>
      <c r="G261" s="57" t="s">
        <v>8</v>
      </c>
      <c r="K261" s="2"/>
      <c r="L261" s="3"/>
      <c r="M261" s="52"/>
      <c r="N261" s="52"/>
      <c r="O261" s="52"/>
      <c r="P261" s="52"/>
      <c r="Q261" s="2"/>
    </row>
    <row r="262" spans="1:17" ht="13.2" x14ac:dyDescent="0.25">
      <c r="A262" s="87" t="s">
        <v>261</v>
      </c>
      <c r="B262" s="90">
        <v>624</v>
      </c>
      <c r="C262" s="74">
        <f>63600.4/1000</f>
        <v>63.6004</v>
      </c>
      <c r="D262" s="75">
        <f ca="1">IFERROR(__xludf.DUMMYFUNCTION("$C256*IMPORTRANGE(""https://docs.google.com/spreadsheets/d/1xsp01RMmkav9iTy39Zaj_7tE9677EGlOJ14KU9TZn7I/"",""2004-2017!H137"")"),52.322141068)</f>
        <v>52.322141068000001</v>
      </c>
      <c r="E262" s="75">
        <f ca="1">IFERROR(__xludf.DUMMYFUNCTION("$C256*IMPORTRANGE(""https://docs.google.com/spreadsheets/d/1xsp01RMmkav9iTy39Zaj_7tE9677EGlOJ14KU9TZn7I/"",""2004-2017!T137"")"),34.7248643939999)</f>
        <v>34.724864393999901</v>
      </c>
      <c r="F262" s="75">
        <f ca="1">IFERROR(__xludf.DUMMYFUNCTION("$C256*IMPORTRANGE(""https://docs.google.com/spreadsheets/d/1xsp01RMmkav9iTy39Zaj_7tE9677EGlOJ14KU9TZn7I/"",""2004-2017!AC137"")"),6962.33588340059)</f>
        <v>6962.3358834005903</v>
      </c>
      <c r="G262" s="72" t="s">
        <v>8</v>
      </c>
      <c r="K262" s="2"/>
      <c r="L262" s="3"/>
      <c r="M262" s="52"/>
      <c r="N262" s="52"/>
      <c r="O262" s="52"/>
      <c r="P262" s="52"/>
      <c r="Q262" s="2"/>
    </row>
    <row r="263" spans="1:17" ht="13.2" x14ac:dyDescent="0.25">
      <c r="A263" s="86" t="s">
        <v>262</v>
      </c>
      <c r="B263" s="89">
        <v>678</v>
      </c>
      <c r="C263" s="59">
        <f>98382.5/1000</f>
        <v>98.382499999999993</v>
      </c>
      <c r="D263" s="71">
        <f ca="1">IFERROR(__xludf.DUMMYFUNCTION("$C257*IMPORTRANGE(""https://docs.google.com/spreadsheets/d/1xsp01RMmkav9iTy39Zaj_7tE9677EGlOJ14KU9TZn7I/"",""2004-2017!H160"")"),79.9500467125)</f>
        <v>79.950046712499997</v>
      </c>
      <c r="E263" s="71">
        <f ca="1">IFERROR(__xludf.DUMMYFUNCTION("$C257*IMPORTRANGE(""https://docs.google.com/spreadsheets/d/1xsp01RMmkav9iTy39Zaj_7tE9677EGlOJ14KU9TZn7I/"",""2004-2017!T160"")"),53.3784091999999)</f>
        <v>53.378409199999901</v>
      </c>
      <c r="F263" s="71">
        <f ca="1">IFERROR(__xludf.DUMMYFUNCTION("$C257*IMPORTRANGE(""https://docs.google.com/spreadsheets/d/1xsp01RMmkav9iTy39Zaj_7tE9677EGlOJ14KU9TZn7I/"",""2004-2017!AC160"")"),10731.563296765)</f>
        <v>10731.563296765</v>
      </c>
      <c r="G263" s="57" t="s">
        <v>8</v>
      </c>
      <c r="K263" s="2"/>
      <c r="L263" s="3"/>
      <c r="M263" s="52"/>
      <c r="N263" s="52"/>
      <c r="O263" s="52"/>
      <c r="P263" s="52"/>
      <c r="Q263" s="2"/>
    </row>
    <row r="264" spans="1:17" ht="13.2" x14ac:dyDescent="0.25">
      <c r="A264" s="87" t="s">
        <v>263</v>
      </c>
      <c r="B264" s="90">
        <v>535</v>
      </c>
      <c r="C264" s="74">
        <f>107996.9/1000</f>
        <v>107.9969</v>
      </c>
      <c r="D264" s="75">
        <f ca="1">IFERROR(__xludf.DUMMYFUNCTION("$C258*IMPORTRANGE(""https://docs.google.com/spreadsheets/d/1xsp01RMmkav9iTy39Zaj_7tE9677EGlOJ14KU9TZn7I/"",""2004-2017!H183"")"),88.5223590075)</f>
        <v>88.5223590075</v>
      </c>
      <c r="E264" s="75">
        <f ca="1">IFERROR(__xludf.DUMMYFUNCTION("$C258*IMPORTRANGE(""https://docs.google.com/spreadsheets/d/1xsp01RMmkav9iTy39Zaj_7tE9677EGlOJ14KU9TZn7I/"",""2004-2017!T183"")"),59.2044405645)</f>
        <v>59.204440564499997</v>
      </c>
      <c r="F264" s="75">
        <f ca="1">IFERROR(__xludf.DUMMYFUNCTION("$C258*IMPORTRANGE(""https://docs.google.com/spreadsheets/d/1xsp01RMmkav9iTy39Zaj_7tE9677EGlOJ14KU9TZn7I/"",""2004-2017!AC183"")"),11906.1180785046)</f>
        <v>11906.1180785046</v>
      </c>
      <c r="G264" s="72" t="s">
        <v>8</v>
      </c>
      <c r="K264" s="2"/>
      <c r="L264" s="3"/>
      <c r="M264" s="52"/>
      <c r="N264" s="52"/>
      <c r="O264" s="52"/>
      <c r="P264" s="52"/>
      <c r="Q264" s="2"/>
    </row>
    <row r="265" spans="1:17" ht="13.2" x14ac:dyDescent="0.25">
      <c r="A265" s="86" t="s">
        <v>264</v>
      </c>
      <c r="B265" s="89">
        <v>660</v>
      </c>
      <c r="C265" s="59">
        <f>52137.9/1000</f>
        <v>52.137900000000002</v>
      </c>
      <c r="D265" s="71">
        <f ca="1">IFERROR(__xludf.DUMMYFUNCTION("$C259*IMPORTRANGE(""https://docs.google.com/spreadsheets/d/1xsp01RMmkav9iTy39Zaj_7tE9677EGlOJ14KU9TZn7I/"",""2004-2017!H206"")"),42.558082254)</f>
        <v>42.558082253999999</v>
      </c>
      <c r="E265" s="71">
        <f ca="1">IFERROR(__xludf.DUMMYFUNCTION("$C259*IMPORTRANGE(""https://docs.google.com/spreadsheets/d/1xsp01RMmkav9iTy39Zaj_7tE9677EGlOJ14KU9TZn7I/"",""2004-2017!T206"")"),29.0655758025)</f>
        <v>29.0655758025</v>
      </c>
      <c r="F265" s="71">
        <f ca="1">IFERROR(__xludf.DUMMYFUNCTION("$C259*IMPORTRANGE(""https://docs.google.com/spreadsheets/d/1xsp01RMmkav9iTy39Zaj_7tE9677EGlOJ14KU9TZn7I/"",""2004-2017!AC206"")"),5733.34419956895)</f>
        <v>5733.34419956895</v>
      </c>
      <c r="G265" s="57" t="s">
        <v>8</v>
      </c>
      <c r="K265" s="2"/>
      <c r="L265" s="3"/>
      <c r="M265" s="52"/>
      <c r="N265" s="52"/>
      <c r="O265" s="52"/>
      <c r="P265" s="52"/>
      <c r="Q265" s="2"/>
    </row>
    <row r="266" spans="1:17" ht="13.2" x14ac:dyDescent="0.25">
      <c r="A266" s="87" t="s">
        <v>265</v>
      </c>
      <c r="B266" s="90">
        <v>637</v>
      </c>
      <c r="C266" s="74">
        <f>96663.7/1000</f>
        <v>96.663699999999992</v>
      </c>
      <c r="D266" s="75">
        <f ca="1">IFERROR(__xludf.DUMMYFUNCTION("$C260*IMPORTRANGE(""https://docs.google.com/spreadsheets/d/1xsp01RMmkav9iTy39Zaj_7tE9677EGlOJ14KU9TZn7I/"",""2004-2017!H228"")"),77.6610665355)</f>
        <v>77.661066535499998</v>
      </c>
      <c r="E266" s="75">
        <f ca="1">IFERROR(__xludf.DUMMYFUNCTION("$C260*IMPORTRANGE(""https://docs.google.com/spreadsheets/d/1xsp01RMmkav9iTy39Zaj_7tE9677EGlOJ14KU9TZn7I/"",""2004-2017!T228"")"),53.7348675115)</f>
        <v>53.734867511499999</v>
      </c>
      <c r="F266" s="75">
        <f ca="1">IFERROR(__xludf.DUMMYFUNCTION("$C260*IMPORTRANGE(""https://docs.google.com/spreadsheets/d/1xsp01RMmkav9iTy39Zaj_7tE9677EGlOJ14KU9TZn7I/"",""2004-2017!AC228"")"),10572.1091589911)</f>
        <v>10572.109158991099</v>
      </c>
      <c r="G266" s="72" t="s">
        <v>8</v>
      </c>
      <c r="K266" s="2"/>
      <c r="L266" s="3"/>
      <c r="M266" s="52"/>
      <c r="N266" s="52"/>
      <c r="O266" s="52"/>
      <c r="P266" s="52"/>
      <c r="Q266" s="2"/>
    </row>
    <row r="267" spans="1:17" ht="13.2" x14ac:dyDescent="0.25">
      <c r="A267" s="86" t="s">
        <v>266</v>
      </c>
      <c r="B267" s="89">
        <v>637</v>
      </c>
      <c r="C267" s="59">
        <f>107205.6/1000</f>
        <v>107.2056</v>
      </c>
      <c r="D267" s="71">
        <f ca="1">IFERROR(__xludf.DUMMYFUNCTION("$C261*IMPORTRANGE(""https://docs.google.com/spreadsheets/d/1xsp01RMmkav9iTy39Zaj_7tE9677EGlOJ14KU9TZn7I/"",""2004-2017!H251"")"),82.691967504)</f>
        <v>82.691967504000004</v>
      </c>
      <c r="E267" s="71">
        <f ca="1">IFERROR(__xludf.DUMMYFUNCTION("$C261*IMPORTRANGE(""https://docs.google.com/spreadsheets/d/1xsp01RMmkav9iTy39Zaj_7tE9677EGlOJ14KU9TZn7I/"",""2004-2017!T251"")"),57.74629644)</f>
        <v>57.746296440000002</v>
      </c>
      <c r="F267" s="71">
        <f ca="1">IFERROR(__xludf.DUMMYFUNCTION("$C261*IMPORTRANGE(""https://docs.google.com/spreadsheets/d/1xsp01RMmkav9iTy39Zaj_7tE9677EGlOJ14KU9TZn7I/"",""2004-2017!AC251"")"),11301.0784312056)</f>
        <v>11301.0784312056</v>
      </c>
      <c r="G267" s="57" t="s">
        <v>8</v>
      </c>
      <c r="K267" s="2"/>
      <c r="L267" s="3"/>
      <c r="M267" s="52"/>
      <c r="N267" s="52"/>
      <c r="O267" s="52"/>
      <c r="P267" s="52"/>
      <c r="Q267" s="2"/>
    </row>
    <row r="268" spans="1:17" ht="13.2" x14ac:dyDescent="0.25">
      <c r="A268" s="88" t="s">
        <v>267</v>
      </c>
      <c r="B268" s="91">
        <v>1132</v>
      </c>
      <c r="C268" s="78">
        <f>191225.2/1000</f>
        <v>191.2252</v>
      </c>
      <c r="D268" s="79">
        <f ca="1">IFERROR(__xludf.DUMMYFUNCTION("$C262*IMPORTRANGE(""https://docs.google.com/spreadsheets/d/1xsp01RMmkav9iTy39Zaj_7tE9677EGlOJ14KU9TZn7I/"",""2004-2017!H275"")"),142.789769092)</f>
        <v>142.789769092</v>
      </c>
      <c r="E268" s="79">
        <f ca="1">IFERROR(__xludf.DUMMYFUNCTION("$C262*IMPORTRANGE(""https://docs.google.com/spreadsheets/d/1xsp01RMmkav9iTy39Zaj_7tE9677EGlOJ14KU9TZn7I/"",""2004-2017!T275"")"),99.209546012)</f>
        <v>99.209546012000004</v>
      </c>
      <c r="F268" s="79">
        <f ca="1">IFERROR(__xludf.DUMMYFUNCTION("$C262*IMPORTRANGE(""https://docs.google.com/spreadsheets/d/1xsp01RMmkav9iTy39Zaj_7tE9677EGlOJ14KU9TZn7I/"",""2004-2017!AC275"")"),19875.9476704504)</f>
        <v>19875.947670450401</v>
      </c>
      <c r="G268" s="76" t="s">
        <v>8</v>
      </c>
      <c r="K268" s="2"/>
      <c r="L268" s="3"/>
      <c r="M268" s="52"/>
      <c r="N268" s="52"/>
      <c r="O268" s="52"/>
      <c r="P268" s="52"/>
      <c r="Q268" s="2"/>
    </row>
    <row r="269" spans="1:17" ht="13.2" x14ac:dyDescent="0.25">
      <c r="A269" s="68">
        <v>2005</v>
      </c>
      <c r="B269" s="69"/>
      <c r="C269" s="92"/>
      <c r="D269" s="92"/>
      <c r="E269" s="92"/>
      <c r="F269" s="92"/>
      <c r="G269" s="68"/>
      <c r="K269" s="2"/>
      <c r="L269" s="3"/>
      <c r="M269" s="52"/>
      <c r="N269" s="52"/>
      <c r="O269" s="52"/>
      <c r="P269" s="52"/>
      <c r="Q269" s="2"/>
    </row>
    <row r="270" spans="1:17" ht="13.2" x14ac:dyDescent="0.25">
      <c r="A270" s="86" t="s">
        <v>268</v>
      </c>
      <c r="B270" s="89">
        <v>745</v>
      </c>
      <c r="C270" s="59">
        <f>138751.3/1000</f>
        <v>138.75129999999999</v>
      </c>
      <c r="D270" s="71">
        <f ca="1">IFERROR(__xludf.DUMMYFUNCTION("$C264*IMPORTRANGE(""https://docs.google.com/spreadsheets/d/1xsp01RMmkav9iTy39Zaj_7tE9677EGlOJ14KU9TZn7I/"",""2004-2017!H298"")"),106.233545331999)</f>
        <v>106.233545331999</v>
      </c>
      <c r="E270" s="71">
        <f ca="1">IFERROR(__xludf.DUMMYFUNCTION("$C264*IMPORTRANGE(""https://docs.google.com/spreadsheets/d/1xsp01RMmkav9iTy39Zaj_7tE9677EGlOJ14KU9TZn7I/"",""2004-2017!T298"")"),73.8587045029999)</f>
        <v>73.858704502999899</v>
      </c>
      <c r="F270" s="71">
        <f ca="1">IFERROR(__xludf.DUMMYFUNCTION("$C264*IMPORTRANGE(""https://docs.google.com/spreadsheets/d/1xsp01RMmkav9iTy39Zaj_7tE9677EGlOJ14KU9TZn7I/"",""2004-2017!AC298"")"),14278.8968380052)</f>
        <v>14278.896838005199</v>
      </c>
      <c r="G270" s="57" t="s">
        <v>8</v>
      </c>
      <c r="K270" s="2"/>
      <c r="L270" s="3"/>
      <c r="M270" s="52"/>
      <c r="N270" s="52"/>
      <c r="O270" s="52"/>
      <c r="P270" s="52"/>
      <c r="Q270" s="2"/>
    </row>
    <row r="271" spans="1:17" ht="13.2" x14ac:dyDescent="0.25">
      <c r="A271" s="87" t="s">
        <v>269</v>
      </c>
      <c r="B271" s="90">
        <v>751</v>
      </c>
      <c r="C271" s="74">
        <f>111522.3/1000</f>
        <v>111.5223</v>
      </c>
      <c r="D271" s="75">
        <f ca="1">IFERROR(__xludf.DUMMYFUNCTION("$C265*IMPORTRANGE(""https://docs.google.com/spreadsheets/d/1xsp01RMmkav9iTy39Zaj_7tE9677EGlOJ14KU9TZn7I/"",""2004-2017!H319"")"),85.6050750915)</f>
        <v>85.605075091499998</v>
      </c>
      <c r="E271" s="75">
        <f ca="1">IFERROR(__xludf.DUMMYFUNCTION("$C265*IMPORTRANGE(""https://docs.google.com/spreadsheets/d/1xsp01RMmkav9iTy39Zaj_7tE9677EGlOJ14KU9TZn7I/"",""2004-2017!T319"")"),59.133584352)</f>
        <v>59.133584352</v>
      </c>
      <c r="F271" s="75">
        <f ca="1">IFERROR(__xludf.DUMMYFUNCTION("$C265*IMPORTRANGE(""https://docs.google.com/spreadsheets/d/1xsp01RMmkav9iTy39Zaj_7tE9677EGlOJ14KU9TZn7I/"",""2004-2017!AC319"")"),11728.8000679553)</f>
        <v>11728.800067955301</v>
      </c>
      <c r="G271" s="72" t="s">
        <v>8</v>
      </c>
      <c r="K271" s="2"/>
      <c r="L271" s="3"/>
      <c r="M271" s="52"/>
      <c r="N271" s="52"/>
      <c r="O271" s="52"/>
      <c r="P271" s="52"/>
      <c r="Q271" s="2"/>
    </row>
    <row r="272" spans="1:17" ht="13.2" x14ac:dyDescent="0.25">
      <c r="A272" s="86" t="s">
        <v>270</v>
      </c>
      <c r="B272" s="89">
        <v>850</v>
      </c>
      <c r="C272" s="59">
        <f>183681.8/1000</f>
        <v>183.68179999999998</v>
      </c>
      <c r="D272" s="71">
        <f ca="1">IFERROR(__xludf.DUMMYFUNCTION("$C266*IMPORTRANGE(""https://docs.google.com/spreadsheets/d/1xsp01RMmkav9iTy39Zaj_7tE9677EGlOJ14KU9TZn7I/"",""2004-2017!H343"")"),139.449385742)</f>
        <v>139.449385742</v>
      </c>
      <c r="E272" s="71">
        <f ca="1">IFERROR(__xludf.DUMMYFUNCTION("$C266*IMPORTRANGE(""https://docs.google.com/spreadsheets/d/1xsp01RMmkav9iTy39Zaj_7tE9677EGlOJ14KU9TZn7I/"",""2004-2017!T343"")"),96.006803224)</f>
        <v>96.006803223999995</v>
      </c>
      <c r="F272" s="71">
        <f ca="1">IFERROR(__xludf.DUMMYFUNCTION("$C266*IMPORTRANGE(""https://docs.google.com/spreadsheets/d/1xsp01RMmkav9iTy39Zaj_7tE9677EGlOJ14KU9TZn7I/"",""2004-2017!AC343"")"),19273.7312739999)</f>
        <v>19273.7312739999</v>
      </c>
      <c r="G272" s="57" t="s">
        <v>8</v>
      </c>
      <c r="K272" s="2"/>
      <c r="L272" s="3"/>
      <c r="M272" s="52"/>
      <c r="N272" s="52"/>
      <c r="O272" s="52"/>
      <c r="P272" s="52"/>
      <c r="Q272" s="2"/>
    </row>
    <row r="273" spans="1:17" ht="13.2" x14ac:dyDescent="0.25">
      <c r="A273" s="87" t="s">
        <v>271</v>
      </c>
      <c r="B273" s="90">
        <v>885</v>
      </c>
      <c r="C273" s="74">
        <f>150595.5/1000</f>
        <v>150.59549999999999</v>
      </c>
      <c r="D273" s="75">
        <f ca="1">IFERROR(__xludf.DUMMYFUNCTION("$C267*IMPORTRANGE(""https://docs.google.com/spreadsheets/d/1xsp01RMmkav9iTy39Zaj_7tE9677EGlOJ14KU9TZn7I/"",""2004-2017!H365"")"),116.604589695)</f>
        <v>116.604589695</v>
      </c>
      <c r="E273" s="75">
        <f ca="1">IFERROR(__xludf.DUMMYFUNCTION("$C267*IMPORTRANGE(""https://docs.google.com/spreadsheets/d/1xsp01RMmkav9iTy39Zaj_7tE9677EGlOJ14KU9TZn7I/"",""2004-2017!T365"")"),79.49936445)</f>
        <v>79.499364450000002</v>
      </c>
      <c r="F273" s="75">
        <f ca="1">IFERROR(__xludf.DUMMYFUNCTION("$C267*IMPORTRANGE(""https://docs.google.com/spreadsheets/d/1xsp01RMmkav9iTy39Zaj_7tE9677EGlOJ14KU9TZn7I/"",""2004-2017!AC365"")"),16178.474565)</f>
        <v>16178.474565</v>
      </c>
      <c r="G273" s="72" t="s">
        <v>8</v>
      </c>
      <c r="K273" s="2"/>
      <c r="L273" s="3"/>
      <c r="M273" s="52"/>
      <c r="N273" s="52"/>
      <c r="O273" s="52"/>
      <c r="P273" s="52"/>
      <c r="Q273" s="2"/>
    </row>
    <row r="274" spans="1:17" ht="13.2" x14ac:dyDescent="0.25">
      <c r="A274" s="86" t="s">
        <v>272</v>
      </c>
      <c r="B274" s="89">
        <v>791</v>
      </c>
      <c r="C274" s="59">
        <f>138688.4/1000</f>
        <v>138.6884</v>
      </c>
      <c r="D274" s="71">
        <f ca="1">IFERROR(__xludf.DUMMYFUNCTION("$C268*IMPORTRANGE(""https://docs.google.com/spreadsheets/d/1xsp01RMmkav9iTy39Zaj_7tE9677EGlOJ14KU9TZn7I/"",""2004-2017!H388"")"),109.743437478)</f>
        <v>109.743437478</v>
      </c>
      <c r="E274" s="71">
        <f ca="1">IFERROR(__xludf.DUMMYFUNCTION("$C268*IMPORTRANGE(""https://docs.google.com/spreadsheets/d/1xsp01RMmkav9iTy39Zaj_7tE9677EGlOJ14KU9TZn7I/"",""2004-2017!T388"")"),75.4028027539999)</f>
        <v>75.402802753999893</v>
      </c>
      <c r="F274" s="71">
        <f ca="1">IFERROR(__xludf.DUMMYFUNCTION("$C268*IMPORTRANGE(""https://docs.google.com/spreadsheets/d/1xsp01RMmkav9iTy39Zaj_7tE9677EGlOJ14KU9TZn7I/"",""2004-2017!AC388"")"),14861.848944)</f>
        <v>14861.848943999999</v>
      </c>
      <c r="G274" s="57" t="s">
        <v>8</v>
      </c>
      <c r="K274" s="2"/>
      <c r="L274" s="3"/>
      <c r="M274" s="52"/>
      <c r="N274" s="52"/>
      <c r="O274" s="52"/>
      <c r="P274" s="52"/>
      <c r="Q274" s="2"/>
    </row>
    <row r="275" spans="1:17" ht="13.2" x14ac:dyDescent="0.25">
      <c r="A275" s="87" t="s">
        <v>273</v>
      </c>
      <c r="B275" s="90">
        <v>1041</v>
      </c>
      <c r="C275" s="74">
        <f>204014.6/1000</f>
        <v>204.0146</v>
      </c>
      <c r="D275" s="75">
        <f ca="1">IFERROR(__xludf.DUMMYFUNCTION("$C269*IMPORTRANGE(""https://docs.google.com/spreadsheets/d/1xsp01RMmkav9iTy39Zaj_7tE9677EGlOJ14KU9TZn7I/"",""2004-2017!H411"")"),167.989701932)</f>
        <v>167.989701932</v>
      </c>
      <c r="E275" s="75">
        <f ca="1">IFERROR(__xludf.DUMMYFUNCTION("$C269*IMPORTRANGE(""https://docs.google.com/spreadsheets/d/1xsp01RMmkav9iTy39Zaj_7tE9677EGlOJ14KU9TZn7I/"",""2004-2017!T411"")"),112.043798247)</f>
        <v>112.043798247</v>
      </c>
      <c r="F275" s="75">
        <f ca="1">IFERROR(__xludf.DUMMYFUNCTION("$C269*IMPORTRANGE(""https://docs.google.com/spreadsheets/d/1xsp01RMmkav9iTy39Zaj_7tE9677EGlOJ14KU9TZn7I/"",""2004-2017!AC411"")"),22204.949064)</f>
        <v>22204.949064</v>
      </c>
      <c r="G275" s="72" t="s">
        <v>8</v>
      </c>
      <c r="K275" s="2"/>
      <c r="L275" s="3"/>
      <c r="M275" s="52"/>
      <c r="N275" s="52"/>
      <c r="O275" s="52"/>
      <c r="P275" s="52"/>
      <c r="Q275" s="2"/>
    </row>
    <row r="276" spans="1:17" ht="13.2" x14ac:dyDescent="0.25">
      <c r="A276" s="86" t="s">
        <v>274</v>
      </c>
      <c r="B276" s="89">
        <v>946</v>
      </c>
      <c r="C276" s="59">
        <f>114186.9/1000</f>
        <v>114.18689999999999</v>
      </c>
      <c r="D276" s="71">
        <f ca="1">IFERROR(__xludf.DUMMYFUNCTION("$C270*IMPORTRANGE(""https://docs.google.com/spreadsheets/d/1xsp01RMmkav9iTy39Zaj_7tE9677EGlOJ14KU9TZn7I/"",""2004-2017!H433"")"),94.6746425279999)</f>
        <v>94.674642527999893</v>
      </c>
      <c r="E276" s="71">
        <f ca="1">IFERROR(__xludf.DUMMYFUNCTION("$C270*IMPORTRANGE(""https://docs.google.com/spreadsheets/d/1xsp01RMmkav9iTy39Zaj_7tE9677EGlOJ14KU9TZn7I/"",""2004-2017!T433"")"),65.175598782)</f>
        <v>65.175598781999994</v>
      </c>
      <c r="F276" s="71">
        <f ca="1">IFERROR(__xludf.DUMMYFUNCTION("$C270*IMPORTRANGE(""https://docs.google.com/spreadsheets/d/1xsp01RMmkav9iTy39Zaj_7tE9677EGlOJ14KU9TZn7I/"",""2004-2017!AC433"")"),12790.0748973738)</f>
        <v>12790.074897373799</v>
      </c>
      <c r="G276" s="57" t="s">
        <v>8</v>
      </c>
      <c r="K276" s="2"/>
      <c r="L276" s="3"/>
      <c r="M276" s="52"/>
      <c r="N276" s="52"/>
      <c r="O276" s="52"/>
      <c r="P276" s="52"/>
      <c r="Q276" s="2"/>
    </row>
    <row r="277" spans="1:17" ht="13.2" x14ac:dyDescent="0.25">
      <c r="A277" s="87" t="s">
        <v>275</v>
      </c>
      <c r="B277" s="90">
        <v>878</v>
      </c>
      <c r="C277" s="74">
        <f>113903.3/1000</f>
        <v>113.9033</v>
      </c>
      <c r="D277" s="75">
        <f ca="1">IFERROR(__xludf.DUMMYFUNCTION("$C271*IMPORTRANGE(""https://docs.google.com/spreadsheets/d/1xsp01RMmkav9iTy39Zaj_7tE9677EGlOJ14KU9TZn7I/"",""2004-2017!H457"")"),92.589714504)</f>
        <v>92.589714504</v>
      </c>
      <c r="E277" s="75">
        <f ca="1">IFERROR(__xludf.DUMMYFUNCTION("$C271*IMPORTRANGE(""https://docs.google.com/spreadsheets/d/1xsp01RMmkav9iTy39Zaj_7tE9677EGlOJ14KU9TZn7I/"",""2004-2017!T457"")"),63.403132912)</f>
        <v>63.403132911999997</v>
      </c>
      <c r="F277" s="75">
        <f ca="1">IFERROR(__xludf.DUMMYFUNCTION("$C271*IMPORTRANGE(""https://docs.google.com/spreadsheets/d/1xsp01RMmkav9iTy39Zaj_7tE9677EGlOJ14KU9TZn7I/"",""2004-2017!AC457"")"),12581.7584040967)</f>
        <v>12581.758404096699</v>
      </c>
      <c r="G277" s="72" t="s">
        <v>8</v>
      </c>
      <c r="K277" s="2"/>
      <c r="L277" s="3"/>
      <c r="M277" s="52"/>
      <c r="N277" s="52"/>
      <c r="O277" s="52"/>
      <c r="P277" s="52"/>
      <c r="Q277" s="2"/>
    </row>
    <row r="278" spans="1:17" ht="13.2" x14ac:dyDescent="0.25">
      <c r="A278" s="86" t="s">
        <v>276</v>
      </c>
      <c r="B278" s="89">
        <v>1044</v>
      </c>
      <c r="C278" s="59">
        <f>197693.7/1000</f>
        <v>197.69370000000001</v>
      </c>
      <c r="D278" s="71">
        <f ca="1">IFERROR(__xludf.DUMMYFUNCTION("$C272*IMPORTRANGE(""https://docs.google.com/spreadsheets/d/1xsp01RMmkav9iTy39Zaj_7tE9677EGlOJ14KU9TZn7I/"",""2004-2017!H480"")"),161.527614522)</f>
        <v>161.52761452199999</v>
      </c>
      <c r="E278" s="71">
        <f ca="1">IFERROR(__xludf.DUMMYFUNCTION("$C272*IMPORTRANGE(""https://docs.google.com/spreadsheets/d/1xsp01RMmkav9iTy39Zaj_7tE9677EGlOJ14KU9TZn7I/"",""2004-2017!T480"")"),109.300892856)</f>
        <v>109.300892856</v>
      </c>
      <c r="F278" s="71">
        <f ca="1">IFERROR(__xludf.DUMMYFUNCTION("$C272*IMPORTRANGE(""https://docs.google.com/spreadsheets/d/1xsp01RMmkav9iTy39Zaj_7tE9677EGlOJ14KU9TZn7I/"",""2004-2017!AC480"")"),21886.6693293063)</f>
        <v>21886.6693293063</v>
      </c>
      <c r="G278" s="57" t="s">
        <v>8</v>
      </c>
      <c r="K278" s="2"/>
      <c r="L278" s="3"/>
      <c r="M278" s="52"/>
      <c r="N278" s="52"/>
      <c r="O278" s="52"/>
      <c r="P278" s="52"/>
      <c r="Q278" s="2"/>
    </row>
    <row r="279" spans="1:17" ht="13.2" x14ac:dyDescent="0.25">
      <c r="A279" s="87" t="s">
        <v>277</v>
      </c>
      <c r="B279" s="90">
        <v>975</v>
      </c>
      <c r="C279" s="74">
        <f>180538.5/1000</f>
        <v>180.5385</v>
      </c>
      <c r="D279" s="75">
        <f ca="1">IFERROR(__xludf.DUMMYFUNCTION("$C273*IMPORTRANGE(""https://docs.google.com/spreadsheets/d/1xsp01RMmkav9iTy39Zaj_7tE9677EGlOJ14KU9TZn7I/"",""2004-2017!H502"")"),150.224280465)</f>
        <v>150.22428046499999</v>
      </c>
      <c r="E279" s="75">
        <f ca="1">IFERROR(__xludf.DUMMYFUNCTION("$C273*IMPORTRANGE(""https://docs.google.com/spreadsheets/d/1xsp01RMmkav9iTy39Zaj_7tE9677EGlOJ14KU9TZn7I/"",""2004-2017!T502"")"),102.074662514999)</f>
        <v>102.07466251499901</v>
      </c>
      <c r="F279" s="75">
        <f ca="1">IFERROR(__xludf.DUMMYFUNCTION("$C273*IMPORTRANGE(""https://docs.google.com/spreadsheets/d/1xsp01RMmkav9iTy39Zaj_7tE9677EGlOJ14KU9TZn7I/"",""2004-2017!AC502"")"),20779.980988923)</f>
        <v>20779.980988922998</v>
      </c>
      <c r="G279" s="72" t="s">
        <v>8</v>
      </c>
      <c r="K279" s="2"/>
      <c r="L279" s="3"/>
      <c r="M279" s="52"/>
      <c r="N279" s="52"/>
      <c r="O279" s="52"/>
      <c r="P279" s="52"/>
      <c r="Q279" s="2"/>
    </row>
    <row r="280" spans="1:17" ht="13.2" x14ac:dyDescent="0.25">
      <c r="A280" s="86" t="s">
        <v>278</v>
      </c>
      <c r="B280" s="89">
        <v>989</v>
      </c>
      <c r="C280" s="59">
        <f>131482.9/1000</f>
        <v>131.4829</v>
      </c>
      <c r="D280" s="71">
        <f ca="1">IFERROR(__xludf.DUMMYFUNCTION("$C274*IMPORTRANGE(""https://docs.google.com/spreadsheets/d/1xsp01RMmkav9iTy39Zaj_7tE9677EGlOJ14KU9TZn7I/"",""2004-2017!H525"")"),111.643445219)</f>
        <v>111.643445219</v>
      </c>
      <c r="E280" s="71">
        <f ca="1">IFERROR(__xludf.DUMMYFUNCTION("$C274*IMPORTRANGE(""https://docs.google.com/spreadsheets/d/1xsp01RMmkav9iTy39Zaj_7tE9677EGlOJ14KU9TZn7I/"",""2004-2017!T525"")"),75.8347348185)</f>
        <v>75.834734818499996</v>
      </c>
      <c r="F280" s="71">
        <f ca="1">IFERROR(__xludf.DUMMYFUNCTION("$C274*IMPORTRANGE(""https://docs.google.com/spreadsheets/d/1xsp01RMmkav9iTy39Zaj_7tE9677EGlOJ14KU9TZn7I/"",""2004-2017!AC525"")"),15620.1684542585)</f>
        <v>15620.168454258501</v>
      </c>
      <c r="G280" s="57" t="s">
        <v>8</v>
      </c>
      <c r="K280" s="2"/>
      <c r="L280" s="3"/>
      <c r="M280" s="52"/>
      <c r="N280" s="52"/>
      <c r="O280" s="52"/>
      <c r="P280" s="52"/>
      <c r="Q280" s="2"/>
    </row>
    <row r="281" spans="1:17" ht="13.2" x14ac:dyDescent="0.25">
      <c r="A281" s="88" t="s">
        <v>279</v>
      </c>
      <c r="B281" s="91">
        <v>1700</v>
      </c>
      <c r="C281" s="78">
        <f>203785.3/1000</f>
        <v>203.78529999999998</v>
      </c>
      <c r="D281" s="79">
        <f ca="1">IFERROR(__xludf.DUMMYFUNCTION("$C275*IMPORTRANGE(""https://docs.google.com/spreadsheets/d/1xsp01RMmkav9iTy39Zaj_7tE9677EGlOJ14KU9TZn7I/"",""2004-2017!H548"")"),171.984603934999)</f>
        <v>171.984603934999</v>
      </c>
      <c r="E281" s="79">
        <f ca="1">IFERROR(__xludf.DUMMYFUNCTION("$C275*IMPORTRANGE(""https://docs.google.com/spreadsheets/d/1xsp01RMmkav9iTy39Zaj_7tE9677EGlOJ14KU9TZn7I/"",""2004-2017!T548"")"),116.9727622)</f>
        <v>116.97276220000001</v>
      </c>
      <c r="F281" s="79">
        <f ca="1">IFERROR(__xludf.DUMMYFUNCTION("$C275*IMPORTRANGE(""https://docs.google.com/spreadsheets/d/1xsp01RMmkav9iTy39Zaj_7tE9677EGlOJ14KU9TZn7I/"",""2004-2017!AC548"")"),23998.7757526073)</f>
        <v>23998.7757526073</v>
      </c>
      <c r="G281" s="76" t="s">
        <v>8</v>
      </c>
      <c r="K281" s="2"/>
      <c r="L281" s="3"/>
      <c r="M281" s="52"/>
      <c r="N281" s="52"/>
      <c r="O281" s="52"/>
      <c r="P281" s="52"/>
      <c r="Q281" s="2"/>
    </row>
    <row r="282" spans="1:17" ht="13.2" x14ac:dyDescent="0.25">
      <c r="A282" s="68">
        <v>2006</v>
      </c>
      <c r="B282" s="69"/>
      <c r="C282" s="92"/>
      <c r="D282" s="92"/>
      <c r="E282" s="92"/>
      <c r="F282" s="92"/>
      <c r="G282" s="68"/>
      <c r="K282" s="2"/>
      <c r="L282" s="3"/>
      <c r="M282" s="52"/>
      <c r="N282" s="52"/>
      <c r="O282" s="52"/>
      <c r="P282" s="52"/>
      <c r="Q282" s="2"/>
    </row>
    <row r="283" spans="1:17" ht="13.2" x14ac:dyDescent="0.25">
      <c r="A283" s="86" t="s">
        <v>280</v>
      </c>
      <c r="B283" s="89">
        <v>1020</v>
      </c>
      <c r="C283" s="59">
        <f>150463.8/1000</f>
        <v>150.46379999999999</v>
      </c>
      <c r="D283" s="71">
        <f ca="1">IFERROR(__xludf.DUMMYFUNCTION("$C277*IMPORTRANGE(""https://docs.google.com/spreadsheets/d/1xsp01RMmkav9iTy39Zaj_7tE9677EGlOJ14KU9TZn7I/"",""2004-2017!H572"")"),124.245482849999)</f>
        <v>124.24548284999899</v>
      </c>
      <c r="E283" s="71">
        <f ca="1">IFERROR(__xludf.DUMMYFUNCTION("$C277*IMPORTRANGE(""https://docs.google.com/spreadsheets/d/1xsp01RMmkav9iTy39Zaj_7tE9677EGlOJ14KU9TZn7I/"",""2004-2017!T572"")"),85.157244567)</f>
        <v>85.157244567000006</v>
      </c>
      <c r="F283" s="71">
        <f ca="1">IFERROR(__xludf.DUMMYFUNCTION("$C277*IMPORTRANGE(""https://docs.google.com/spreadsheets/d/1xsp01RMmkav9iTy39Zaj_7tE9677EGlOJ14KU9TZn7I/"",""2004-2017!AC572"")"),17361.2653373043)</f>
        <v>17361.265337304299</v>
      </c>
      <c r="G283" s="57" t="s">
        <v>8</v>
      </c>
      <c r="K283" s="2"/>
      <c r="L283" s="3"/>
      <c r="M283" s="52"/>
      <c r="N283" s="52"/>
      <c r="O283" s="52"/>
      <c r="P283" s="52"/>
      <c r="Q283" s="2"/>
    </row>
    <row r="284" spans="1:17" ht="13.2" x14ac:dyDescent="0.25">
      <c r="A284" s="87" t="s">
        <v>281</v>
      </c>
      <c r="B284" s="90">
        <v>1025</v>
      </c>
      <c r="C284" s="74">
        <f>223737.7/1000</f>
        <v>223.73770000000002</v>
      </c>
      <c r="D284" s="75">
        <f ca="1">IFERROR(__xludf.DUMMYFUNCTION("$C278*IMPORTRANGE(""https://docs.google.com/spreadsheets/d/1xsp01RMmkav9iTy39Zaj_7tE9677EGlOJ14KU9TZn7I/"",""2004-2017!H593"")"),187.6051801385)</f>
        <v>187.6051801385</v>
      </c>
      <c r="E284" s="75">
        <f ca="1">IFERROR(__xludf.DUMMYFUNCTION("$C278*IMPORTRANGE(""https://docs.google.com/spreadsheets/d/1xsp01RMmkav9iTy39Zaj_7tE9677EGlOJ14KU9TZn7I/"",""2004-2017!T593"")"),128.235262755)</f>
        <v>128.23526275500001</v>
      </c>
      <c r="F284" s="75">
        <f ca="1">IFERROR(__xludf.DUMMYFUNCTION("$C278*IMPORTRANGE(""https://docs.google.com/spreadsheets/d/1xsp01RMmkav9iTy39Zaj_7tE9677EGlOJ14KU9TZn7I/"",""2004-2017!AC593"")"),26390.9807391065)</f>
        <v>26390.980739106501</v>
      </c>
      <c r="G284" s="72" t="s">
        <v>8</v>
      </c>
      <c r="K284" s="2"/>
      <c r="L284" s="3"/>
      <c r="M284" s="52"/>
      <c r="N284" s="52"/>
      <c r="O284" s="52"/>
      <c r="P284" s="52"/>
      <c r="Q284" s="2"/>
    </row>
    <row r="285" spans="1:17" ht="13.2" x14ac:dyDescent="0.25">
      <c r="A285" s="86" t="s">
        <v>282</v>
      </c>
      <c r="B285" s="89">
        <v>1207</v>
      </c>
      <c r="C285" s="59">
        <f>235710.6/1000</f>
        <v>235.7106</v>
      </c>
      <c r="D285" s="71">
        <f ca="1">IFERROR(__xludf.DUMMYFUNCTION("$C279*IMPORTRANGE(""https://docs.google.com/spreadsheets/d/1xsp01RMmkav9iTy39Zaj_7tE9677EGlOJ14KU9TZn7I/"",""2004-2017!H617"")"),195.920293614)</f>
        <v>195.920293614</v>
      </c>
      <c r="E285" s="71">
        <f ca="1">IFERROR(__xludf.DUMMYFUNCTION("$C279*IMPORTRANGE(""https://docs.google.com/spreadsheets/d/1xsp01RMmkav9iTy39Zaj_7tE9677EGlOJ14KU9TZn7I/"",""2004-2017!T617"")"),134.939604288)</f>
        <v>134.939604288</v>
      </c>
      <c r="F285" s="71">
        <f ca="1">IFERROR(__xludf.DUMMYFUNCTION("$C279*IMPORTRANGE(""https://docs.google.com/spreadsheets/d/1xsp01RMmkav9iTy39Zaj_7tE9677EGlOJ14KU9TZn7I/"",""2004-2017!AC617"")"),27700.7090048682)</f>
        <v>27700.7090048682</v>
      </c>
      <c r="G285" s="57" t="s">
        <v>8</v>
      </c>
      <c r="K285" s="2"/>
      <c r="L285" s="3"/>
      <c r="M285" s="52"/>
      <c r="N285" s="52"/>
      <c r="O285" s="52"/>
      <c r="P285" s="52"/>
      <c r="Q285" s="2"/>
    </row>
    <row r="286" spans="1:17" ht="13.2" x14ac:dyDescent="0.25">
      <c r="A286" s="87" t="s">
        <v>283</v>
      </c>
      <c r="B286" s="90">
        <v>1045</v>
      </c>
      <c r="C286" s="74">
        <f>204804.6/1000</f>
        <v>204.80459999999999</v>
      </c>
      <c r="D286" s="75">
        <f ca="1">IFERROR(__xludf.DUMMYFUNCTION("$C280*IMPORTRANGE(""https://docs.google.com/spreadsheets/d/1xsp01RMmkav9iTy39Zaj_7tE9677EGlOJ14KU9TZn7I/"",""2004-2017!H638"")"),166.860451757999)</f>
        <v>166.86045175799899</v>
      </c>
      <c r="E286" s="75">
        <f ca="1">IFERROR(__xludf.DUMMYFUNCTION("$C280*IMPORTRANGE(""https://docs.google.com/spreadsheets/d/1xsp01RMmkav9iTy39Zaj_7tE9677EGlOJ14KU9TZn7I/"",""2004-2017!T638"")"),116.192817740999)</f>
        <v>116.192817740999</v>
      </c>
      <c r="F286" s="75">
        <f ca="1">IFERROR(__xludf.DUMMYFUNCTION("$C280*IMPORTRANGE(""https://docs.google.com/spreadsheets/d/1xsp01RMmkav9iTy39Zaj_7tE9677EGlOJ14KU9TZn7I/"",""2004-2017!AC638"")"),24052.2526336092)</f>
        <v>24052.252633609201</v>
      </c>
      <c r="G286" s="72" t="s">
        <v>8</v>
      </c>
      <c r="K286" s="2"/>
      <c r="L286" s="3"/>
      <c r="M286" s="52"/>
      <c r="N286" s="52"/>
      <c r="O286" s="52"/>
      <c r="P286" s="52"/>
      <c r="Q286" s="2"/>
    </row>
    <row r="287" spans="1:17" ht="13.2" x14ac:dyDescent="0.25">
      <c r="A287" s="86" t="s">
        <v>284</v>
      </c>
      <c r="B287" s="89">
        <v>1151</v>
      </c>
      <c r="C287" s="59">
        <f>268980.9/1000</f>
        <v>268.98090000000002</v>
      </c>
      <c r="D287" s="71">
        <f ca="1">IFERROR(__xludf.DUMMYFUNCTION("$C281*IMPORTRANGE(""https://docs.google.com/spreadsheets/d/1xsp01RMmkav9iTy39Zaj_7tE9677EGlOJ14KU9TZn7I/"",""2004-2017!H662"")"),210.569007756)</f>
        <v>210.56900775599999</v>
      </c>
      <c r="E287" s="71">
        <f ca="1">IFERROR(__xludf.DUMMYFUNCTION("$C281*IMPORTRANGE(""https://docs.google.com/spreadsheets/d/1xsp01RMmkav9iTy39Zaj_7tE9677EGlOJ14KU9TZn7I/"",""2004-2017!T662"")"),143.71649487)</f>
        <v>143.71649486999999</v>
      </c>
      <c r="F287" s="71">
        <f ca="1">IFERROR(__xludf.DUMMYFUNCTION("$C281*IMPORTRANGE(""https://docs.google.com/spreadsheets/d/1xsp01RMmkav9iTy39Zaj_7tE9677EGlOJ14KU9TZn7I/"",""2004-2017!AC662"")"),30061.3059219618)</f>
        <v>30061.305921961801</v>
      </c>
      <c r="G287" s="57" t="s">
        <v>8</v>
      </c>
      <c r="K287" s="2"/>
      <c r="L287" s="3"/>
      <c r="M287" s="52"/>
      <c r="N287" s="52"/>
      <c r="O287" s="52"/>
      <c r="P287" s="52"/>
      <c r="Q287" s="2"/>
    </row>
    <row r="288" spans="1:17" ht="13.2" x14ac:dyDescent="0.25">
      <c r="A288" s="87" t="s">
        <v>285</v>
      </c>
      <c r="B288" s="90">
        <v>1273</v>
      </c>
      <c r="C288" s="74">
        <f>211737.8/1000</f>
        <v>211.73779999999999</v>
      </c>
      <c r="D288" s="75">
        <f ca="1">IFERROR(__xludf.DUMMYFUNCTION("$C282*IMPORTRANGE(""https://docs.google.com/spreadsheets/d/1xsp01RMmkav9iTy39Zaj_7tE9677EGlOJ14KU9TZn7I/"",""2004-2017!H685"")"),167.507890958)</f>
        <v>167.50789095799999</v>
      </c>
      <c r="E288" s="75">
        <f ca="1">IFERROR(__xludf.DUMMYFUNCTION("$C282*IMPORTRANGE(""https://docs.google.com/spreadsheets/d/1xsp01RMmkav9iTy39Zaj_7tE9677EGlOJ14KU9TZn7I/"",""2004-2017!T685"")"),114.871991256)</f>
        <v>114.871991256</v>
      </c>
      <c r="F288" s="75">
        <f ca="1">IFERROR(__xludf.DUMMYFUNCTION("$C282*IMPORTRANGE(""https://docs.google.com/spreadsheets/d/1xsp01RMmkav9iTy39Zaj_7tE9677EGlOJ14KU9TZn7I/"",""2004-2017!AC685"")"),24317.5569855)</f>
        <v>24317.556985499999</v>
      </c>
      <c r="G288" s="72" t="s">
        <v>8</v>
      </c>
      <c r="K288" s="2"/>
      <c r="L288" s="3"/>
      <c r="M288" s="52"/>
      <c r="N288" s="52"/>
      <c r="O288" s="52"/>
      <c r="P288" s="52"/>
      <c r="Q288" s="2"/>
    </row>
    <row r="289" spans="1:17" ht="13.2" x14ac:dyDescent="0.25">
      <c r="A289" s="86" t="s">
        <v>286</v>
      </c>
      <c r="B289" s="89">
        <v>1174</v>
      </c>
      <c r="C289" s="59">
        <f>162480.4/1000</f>
        <v>162.4804</v>
      </c>
      <c r="D289" s="71">
        <f ca="1">IFERROR(__xludf.DUMMYFUNCTION("$C283*IMPORTRANGE(""https://docs.google.com/spreadsheets/d/1xsp01RMmkav9iTy39Zaj_7tE9677EGlOJ14KU9TZn7I/"",""2004-2017!H707"")"),127.816831464)</f>
        <v>127.816831464</v>
      </c>
      <c r="E289" s="71">
        <f ca="1">IFERROR(__xludf.DUMMYFUNCTION("$C283*IMPORTRANGE(""https://docs.google.com/spreadsheets/d/1xsp01RMmkav9iTy39Zaj_7tE9677EGlOJ14KU9TZn7I/"",""2004-2017!T707"")"),88.093623272)</f>
        <v>88.093623272000002</v>
      </c>
      <c r="F289" s="71">
        <f ca="1">IFERROR(__xludf.DUMMYFUNCTION("$C283*IMPORTRANGE(""https://docs.google.com/spreadsheets/d/1xsp01RMmkav9iTy39Zaj_7tE9677EGlOJ14KU9TZn7I/"",""2004-2017!AC707"")"),18777.859828)</f>
        <v>18777.859828000001</v>
      </c>
      <c r="G289" s="57" t="s">
        <v>8</v>
      </c>
      <c r="K289" s="2"/>
      <c r="L289" s="3"/>
      <c r="M289" s="52"/>
      <c r="N289" s="52"/>
      <c r="O289" s="52"/>
      <c r="P289" s="52"/>
      <c r="Q289" s="2"/>
    </row>
    <row r="290" spans="1:17" ht="13.2" x14ac:dyDescent="0.25">
      <c r="A290" s="87" t="s">
        <v>287</v>
      </c>
      <c r="B290" s="90">
        <v>1144</v>
      </c>
      <c r="C290" s="74">
        <f>194387.7/1000</f>
        <v>194.38770000000002</v>
      </c>
      <c r="D290" s="75">
        <f ca="1">IFERROR(__xludf.DUMMYFUNCTION("$C284*IMPORTRANGE(""https://docs.google.com/spreadsheets/d/1xsp01RMmkav9iTy39Zaj_7tE9677EGlOJ14KU9TZn7I/"",""2004-2017!H731"")"),151.75847739)</f>
        <v>151.75847739</v>
      </c>
      <c r="E290" s="75">
        <f ca="1">IFERROR(__xludf.DUMMYFUNCTION("$C284*IMPORTRANGE(""https://docs.google.com/spreadsheets/d/1xsp01RMmkav9iTy39Zaj_7tE9677EGlOJ14KU9TZn7I/"",""2004-2017!T731"")"),102.735843327)</f>
        <v>102.735843327</v>
      </c>
      <c r="F290" s="75">
        <f ca="1">IFERROR(__xludf.DUMMYFUNCTION("$C284*IMPORTRANGE(""https://docs.google.com/spreadsheets/d/1xsp01RMmkav9iTy39Zaj_7tE9677EGlOJ14KU9TZn7I/"",""2004-2017!AC731"")"),22537.3103267754)</f>
        <v>22537.310326775401</v>
      </c>
      <c r="G290" s="72" t="s">
        <v>8</v>
      </c>
      <c r="K290" s="2"/>
      <c r="L290" s="3"/>
      <c r="M290" s="52"/>
      <c r="N290" s="52"/>
      <c r="O290" s="52"/>
      <c r="P290" s="52"/>
      <c r="Q290" s="2"/>
    </row>
    <row r="291" spans="1:17" ht="13.2" x14ac:dyDescent="0.25">
      <c r="A291" s="86" t="s">
        <v>288</v>
      </c>
      <c r="B291" s="89">
        <v>1161</v>
      </c>
      <c r="C291" s="59">
        <f>179942.6/1000</f>
        <v>179.9426</v>
      </c>
      <c r="D291" s="71">
        <f ca="1">IFERROR(__xludf.DUMMYFUNCTION("$C285*IMPORTRANGE(""https://docs.google.com/spreadsheets/d/1xsp01RMmkav9iTy39Zaj_7tE9677EGlOJ14KU9TZn7I/"",""2004-2017!H753"")"),141.609427921999)</f>
        <v>141.60942792199901</v>
      </c>
      <c r="E291" s="71">
        <f ca="1">IFERROR(__xludf.DUMMYFUNCTION("$C285*IMPORTRANGE(""https://docs.google.com/spreadsheets/d/1xsp01RMmkav9iTy39Zaj_7tE9677EGlOJ14KU9TZn7I/"",""2004-2017!T753"")"),95.41456365)</f>
        <v>95.414563650000005</v>
      </c>
      <c r="F291" s="71">
        <f ca="1">IFERROR(__xludf.DUMMYFUNCTION("$C285*IMPORTRANGE(""https://docs.google.com/spreadsheets/d/1xsp01RMmkav9iTy39Zaj_7tE9677EGlOJ14KU9TZn7I/"",""2004-2017!AC753"")"),21132.4593038852)</f>
        <v>21132.4593038852</v>
      </c>
      <c r="G291" s="57" t="s">
        <v>8</v>
      </c>
      <c r="K291" s="2"/>
      <c r="L291" s="3"/>
      <c r="M291" s="52"/>
      <c r="N291" s="52"/>
      <c r="O291" s="52"/>
      <c r="P291" s="52"/>
      <c r="Q291" s="2"/>
    </row>
    <row r="292" spans="1:17" ht="13.2" x14ac:dyDescent="0.25">
      <c r="A292" s="87" t="s">
        <v>289</v>
      </c>
      <c r="B292" s="90">
        <v>1285</v>
      </c>
      <c r="C292" s="74">
        <f>306777.5/1000</f>
        <v>306.77749999999997</v>
      </c>
      <c r="D292" s="75">
        <f ca="1">IFERROR(__xludf.DUMMYFUNCTION("$C286*IMPORTRANGE(""https://docs.google.com/spreadsheets/d/1xsp01RMmkav9iTy39Zaj_7tE9677EGlOJ14KU9TZn7I/"",""2004-2017!H776"")"),243.28069305)</f>
        <v>243.28069305</v>
      </c>
      <c r="E292" s="75">
        <f ca="1">IFERROR(__xludf.DUMMYFUNCTION("$C286*IMPORTRANGE(""https://docs.google.com/spreadsheets/d/1xsp01RMmkav9iTy39Zaj_7tE9677EGlOJ14KU9TZn7I/"",""2004-2017!T776"")"),163.589101874999)</f>
        <v>163.58910187499899</v>
      </c>
      <c r="F292" s="75">
        <f ca="1">IFERROR(__xludf.DUMMYFUNCTION("$C286*IMPORTRANGE(""https://docs.google.com/spreadsheets/d/1xsp01RMmkav9iTy39Zaj_7tE9677EGlOJ14KU9TZn7I/"",""2004-2017!AC776"")"),36451.3023966112)</f>
        <v>36451.302396611201</v>
      </c>
      <c r="G292" s="72" t="s">
        <v>8</v>
      </c>
      <c r="K292" s="2"/>
      <c r="L292" s="3"/>
      <c r="M292" s="52"/>
      <c r="N292" s="52"/>
      <c r="O292" s="52"/>
      <c r="P292" s="52"/>
      <c r="Q292" s="2"/>
    </row>
    <row r="293" spans="1:17" ht="13.2" x14ac:dyDescent="0.25">
      <c r="A293" s="86" t="s">
        <v>290</v>
      </c>
      <c r="B293" s="89">
        <v>1209</v>
      </c>
      <c r="C293" s="59">
        <f>387668.3/1000</f>
        <v>387.66829999999999</v>
      </c>
      <c r="D293" s="71">
        <f ca="1">IFERROR(__xludf.DUMMYFUNCTION("$C287*IMPORTRANGE(""https://docs.google.com/spreadsheets/d/1xsp01RMmkav9iTy39Zaj_7tE9677EGlOJ14KU9TZn7I/"",""2004-2017!H799"")"),302.175809801)</f>
        <v>302.17580980100001</v>
      </c>
      <c r="E293" s="71">
        <f ca="1">IFERROR(__xludf.DUMMYFUNCTION("$C287*IMPORTRANGE(""https://docs.google.com/spreadsheets/d/1xsp01RMmkav9iTy39Zaj_7tE9677EGlOJ14KU9TZn7I/"",""2004-2017!T799"")"),203.366913496999)</f>
        <v>203.36691349699899</v>
      </c>
      <c r="F293" s="71">
        <f ca="1">IFERROR(__xludf.DUMMYFUNCTION("$C287*IMPORTRANGE(""https://docs.google.com/spreadsheets/d/1xsp01RMmkav9iTy39Zaj_7tE9677EGlOJ14KU9TZn7I/"",""2004-2017!AC799"")"),45576.2231079975)</f>
        <v>45576.223107997503</v>
      </c>
      <c r="G293" s="57" t="s">
        <v>8</v>
      </c>
      <c r="K293" s="2"/>
      <c r="L293" s="3"/>
      <c r="M293" s="52"/>
      <c r="N293" s="52"/>
      <c r="O293" s="52"/>
      <c r="P293" s="52"/>
      <c r="Q293" s="2"/>
    </row>
    <row r="294" spans="1:17" ht="13.2" x14ac:dyDescent="0.25">
      <c r="A294" s="88" t="s">
        <v>291</v>
      </c>
      <c r="B294" s="91">
        <v>2072</v>
      </c>
      <c r="C294" s="78">
        <f>269597.7/1000</f>
        <v>269.59770000000003</v>
      </c>
      <c r="D294" s="79">
        <f ca="1">IFERROR(__xludf.DUMMYFUNCTION("$C288*IMPORTRANGE(""https://docs.google.com/spreadsheets/d/1xsp01RMmkav9iTy39Zaj_7tE9677EGlOJ14KU9TZn7I/"",""2004-2017!H821"")"),204.271481313)</f>
        <v>204.27148131300001</v>
      </c>
      <c r="E294" s="79">
        <f ca="1">IFERROR(__xludf.DUMMYFUNCTION("$C288*IMPORTRANGE(""https://docs.google.com/spreadsheets/d/1xsp01RMmkav9iTy39Zaj_7tE9677EGlOJ14KU9TZn7I/"",""2004-2017!T821"")"),137.395075851)</f>
        <v>137.395075851</v>
      </c>
      <c r="F294" s="79">
        <f ca="1">IFERROR(__xludf.DUMMYFUNCTION("$C288*IMPORTRANGE(""https://docs.google.com/spreadsheets/d/1xsp01RMmkav9iTy39Zaj_7tE9677EGlOJ14KU9TZn7I/"",""2004-2017!AC821"")"),31815.2251161954)</f>
        <v>31815.225116195401</v>
      </c>
      <c r="G294" s="76" t="s">
        <v>8</v>
      </c>
      <c r="K294" s="2"/>
      <c r="L294" s="3"/>
      <c r="M294" s="52"/>
      <c r="N294" s="52"/>
      <c r="O294" s="52"/>
      <c r="P294" s="52"/>
      <c r="Q294" s="2"/>
    </row>
    <row r="295" spans="1:17" ht="13.2" x14ac:dyDescent="0.25">
      <c r="A295" s="68">
        <v>2007</v>
      </c>
      <c r="B295" s="69"/>
      <c r="C295" s="92"/>
      <c r="D295" s="92"/>
      <c r="E295" s="92"/>
      <c r="F295" s="92"/>
      <c r="G295" s="68"/>
      <c r="K295" s="2"/>
      <c r="L295" s="3"/>
      <c r="M295" s="52"/>
      <c r="N295" s="52"/>
      <c r="O295" s="52"/>
      <c r="P295" s="52"/>
      <c r="Q295" s="2"/>
    </row>
    <row r="296" spans="1:17" ht="13.2" x14ac:dyDescent="0.25">
      <c r="A296" s="86" t="s">
        <v>292</v>
      </c>
      <c r="B296" s="89">
        <v>1272</v>
      </c>
      <c r="C296" s="59">
        <f>201072.8/1000</f>
        <v>201.0728</v>
      </c>
      <c r="D296" s="71">
        <f ca="1">IFERROR(__xludf.DUMMYFUNCTION("$C290*IMPORTRANGE(""https://docs.google.com/spreadsheets/d/1xsp01RMmkav9iTy39Zaj_7tE9677EGlOJ14KU9TZn7I/"",""2004-2017!H846"")"),155.113590104)</f>
        <v>155.113590104</v>
      </c>
      <c r="E296" s="71">
        <f ca="1">IFERROR(__xludf.DUMMYFUNCTION("$C290*IMPORTRANGE(""https://docs.google.com/spreadsheets/d/1xsp01RMmkav9iTy39Zaj_7tE9677EGlOJ14KU9TZn7I/"",""2004-2017!T846"")"),102.478763248)</f>
        <v>102.47876324800001</v>
      </c>
      <c r="F296" s="71">
        <f ca="1">IFERROR(__xludf.DUMMYFUNCTION("$C290*IMPORTRANGE(""https://docs.google.com/spreadsheets/d/1xsp01RMmkav9iTy39Zaj_7tE9677EGlOJ14KU9TZn7I/"",""2004-2017!AC846"")"),24253.4017392184)</f>
        <v>24253.4017392184</v>
      </c>
      <c r="G296" s="57" t="s">
        <v>8</v>
      </c>
      <c r="K296" s="2"/>
      <c r="L296" s="3"/>
      <c r="M296" s="52"/>
      <c r="N296" s="52"/>
      <c r="O296" s="52"/>
      <c r="P296" s="52"/>
      <c r="Q296" s="2"/>
    </row>
    <row r="297" spans="1:17" ht="13.2" x14ac:dyDescent="0.25">
      <c r="A297" s="87" t="s">
        <v>293</v>
      </c>
      <c r="B297" s="90">
        <v>1226</v>
      </c>
      <c r="C297" s="74">
        <f>267179.5/1000</f>
        <v>267.17950000000002</v>
      </c>
      <c r="D297" s="75">
        <f ca="1">IFERROR(__xludf.DUMMYFUNCTION("$C291*IMPORTRANGE(""https://docs.google.com/spreadsheets/d/1xsp01RMmkav9iTy39Zaj_7tE9677EGlOJ14KU9TZn7I/"",""2004-2017!H867"")"),203.486578995)</f>
        <v>203.486578995</v>
      </c>
      <c r="E297" s="75">
        <f ca="1">IFERROR(__xludf.DUMMYFUNCTION("$C291*IMPORTRANGE(""https://docs.google.com/spreadsheets/d/1xsp01RMmkav9iTy39Zaj_7tE9677EGlOJ14KU9TZn7I/"",""2004-2017!T867"")"),136.194750124999)</f>
        <v>136.19475012499899</v>
      </c>
      <c r="F297" s="75">
        <f ca="1">IFERROR(__xludf.DUMMYFUNCTION("$C291*IMPORTRANGE(""https://docs.google.com/spreadsheets/d/1xsp01RMmkav9iTy39Zaj_7tE9677EGlOJ14KU9TZn7I/"",""2004-2017!AC867"")"),32225.1871765705)</f>
        <v>32225.1871765705</v>
      </c>
      <c r="G297" s="72" t="s">
        <v>8</v>
      </c>
      <c r="K297" s="2"/>
      <c r="L297" s="3"/>
      <c r="M297" s="52"/>
      <c r="N297" s="52"/>
      <c r="O297" s="52"/>
      <c r="P297" s="52"/>
      <c r="Q297" s="2"/>
    </row>
    <row r="298" spans="1:17" ht="13.2" x14ac:dyDescent="0.25">
      <c r="A298" s="86" t="s">
        <v>294</v>
      </c>
      <c r="B298" s="89">
        <v>1503</v>
      </c>
      <c r="C298" s="59">
        <f>248664.3/1000</f>
        <v>248.6643</v>
      </c>
      <c r="D298" s="71">
        <f ca="1">IFERROR(__xludf.DUMMYFUNCTION("$C292*IMPORTRANGE(""https://docs.google.com/spreadsheets/d/1xsp01RMmkav9iTy39Zaj_7tE9677EGlOJ14KU9TZn7I/"",""2004-2017!H890"")"),187.1062092135)</f>
        <v>187.10620921349999</v>
      </c>
      <c r="E298" s="71">
        <f ca="1">IFERROR(__xludf.DUMMYFUNCTION("$C292*IMPORTRANGE(""https://docs.google.com/spreadsheets/d/1xsp01RMmkav9iTy39Zaj_7tE9677EGlOJ14KU9TZn7I/"",""2004-2017!T890"")"),127.886806168499)</f>
        <v>127.88680616849901</v>
      </c>
      <c r="F298" s="71">
        <f ca="1">IFERROR(__xludf.DUMMYFUNCTION("$C292*IMPORTRANGE(""https://docs.google.com/spreadsheets/d/1xsp01RMmkav9iTy39Zaj_7tE9677EGlOJ14KU9TZn7I/"",""2004-2017!AC890"")"),29177.0263864929)</f>
        <v>29177.0263864929</v>
      </c>
      <c r="G298" s="57" t="s">
        <v>8</v>
      </c>
      <c r="K298" s="2"/>
      <c r="L298" s="3"/>
      <c r="M298" s="52"/>
      <c r="N298" s="52"/>
      <c r="O298" s="52"/>
      <c r="P298" s="52"/>
      <c r="Q298" s="2"/>
    </row>
    <row r="299" spans="1:17" ht="13.2" x14ac:dyDescent="0.25">
      <c r="A299" s="87" t="s">
        <v>295</v>
      </c>
      <c r="B299" s="90">
        <v>1283</v>
      </c>
      <c r="C299" s="74">
        <f>500426.4/1000</f>
        <v>500.4264</v>
      </c>
      <c r="D299" s="75">
        <f ca="1">IFERROR(__xludf.DUMMYFUNCTION("$C293*IMPORTRANGE(""https://docs.google.com/spreadsheets/d/1xsp01RMmkav9iTy39Zaj_7tE9677EGlOJ14KU9TZn7I/"",""2004-2017!H912"")"),369.89017356)</f>
        <v>369.89017355999999</v>
      </c>
      <c r="E299" s="75">
        <f ca="1">IFERROR(__xludf.DUMMYFUNCTION("$C293*IMPORTRANGE(""https://docs.google.com/spreadsheets/d/1xsp01RMmkav9iTy39Zaj_7tE9677EGlOJ14KU9TZn7I/"",""2004-2017!T912"")"),251.634410975999)</f>
        <v>251.634410975999</v>
      </c>
      <c r="F299" s="75">
        <f ca="1">IFERROR(__xludf.DUMMYFUNCTION("$C293*IMPORTRANGE(""https://docs.google.com/spreadsheets/d/1xsp01RMmkav9iTy39Zaj_7tE9677EGlOJ14KU9TZn7I/"",""2004-2017!AC912"")"),59525.7187787207)</f>
        <v>59525.7187787207</v>
      </c>
      <c r="G299" s="72" t="s">
        <v>8</v>
      </c>
      <c r="K299" s="2"/>
      <c r="L299" s="3"/>
      <c r="M299" s="52"/>
      <c r="N299" s="52"/>
      <c r="O299" s="52"/>
      <c r="P299" s="52"/>
      <c r="Q299" s="2"/>
    </row>
    <row r="300" spans="1:17" ht="13.2" x14ac:dyDescent="0.25">
      <c r="A300" s="86" t="s">
        <v>296</v>
      </c>
      <c r="B300" s="89">
        <v>1397</v>
      </c>
      <c r="C300" s="59">
        <f>638304.3/1000</f>
        <v>638.30430000000001</v>
      </c>
      <c r="D300" s="71">
        <f ca="1">IFERROR(__xludf.DUMMYFUNCTION("$C294*IMPORTRANGE(""https://docs.google.com/spreadsheets/d/1xsp01RMmkav9iTy39Zaj_7tE9677EGlOJ14KU9TZn7I/"",""2004-2017!H936"")"),472.364331129)</f>
        <v>472.36433112899999</v>
      </c>
      <c r="E300" s="71">
        <f ca="1">IFERROR(__xludf.DUMMYFUNCTION("$C294*IMPORTRANGE(""https://docs.google.com/spreadsheets/d/1xsp01RMmkav9iTy39Zaj_7tE9677EGlOJ14KU9TZn7I/"",""2004-2017!T936"")"),321.935156748)</f>
        <v>321.935156748</v>
      </c>
      <c r="F300" s="71">
        <f ca="1">IFERROR(__xludf.DUMMYFUNCTION("$C294*IMPORTRANGE(""https://docs.google.com/spreadsheets/d/1xsp01RMmkav9iTy39Zaj_7tE9677EGlOJ14KU9TZn7I/"",""2004-2017!AC936"")"),77056.0957343043)</f>
        <v>77056.095734304297</v>
      </c>
      <c r="G300" s="57" t="s">
        <v>8</v>
      </c>
      <c r="K300" s="2"/>
      <c r="L300" s="3"/>
      <c r="M300" s="52"/>
      <c r="N300" s="52"/>
      <c r="O300" s="52"/>
      <c r="P300" s="52"/>
      <c r="Q300" s="2"/>
    </row>
    <row r="301" spans="1:17" ht="13.2" x14ac:dyDescent="0.25">
      <c r="A301" s="87" t="s">
        <v>297</v>
      </c>
      <c r="B301" s="90">
        <v>1554</v>
      </c>
      <c r="C301" s="74">
        <f>314695.5/1000</f>
        <v>314.69549999999998</v>
      </c>
      <c r="D301" s="75">
        <f ca="1">IFERROR(__xludf.DUMMYFUNCTION("$C295*IMPORTRANGE(""https://docs.google.com/spreadsheets/d/1xsp01RMmkav9iTy39Zaj_7tE9677EGlOJ14KU9TZn7I/"",""2004-2017!H958"")"),234.356885805)</f>
        <v>234.35688580499999</v>
      </c>
      <c r="E301" s="75">
        <f ca="1">IFERROR(__xludf.DUMMYFUNCTION("$C295*IMPORTRANGE(""https://docs.google.com/spreadsheets/d/1xsp01RMmkav9iTy39Zaj_7tE9677EGlOJ14KU9TZn7I/"",""2004-2017!T958"")"),158.011757504999)</f>
        <v>158.011757504999</v>
      </c>
      <c r="F301" s="75">
        <f ca="1">IFERROR(__xludf.DUMMYFUNCTION("$C295*IMPORTRANGE(""https://docs.google.com/spreadsheets/d/1xsp01RMmkav9iTy39Zaj_7tE9677EGlOJ14KU9TZn7I/"",""2004-2017!AC958"")"),38720.1346346954)</f>
        <v>38720.134634695401</v>
      </c>
      <c r="G301" s="72" t="s">
        <v>8</v>
      </c>
      <c r="K301" s="2"/>
      <c r="L301" s="3"/>
      <c r="M301" s="52"/>
      <c r="N301" s="52"/>
      <c r="O301" s="52"/>
      <c r="P301" s="52"/>
      <c r="Q301" s="2"/>
    </row>
    <row r="302" spans="1:17" ht="13.2" x14ac:dyDescent="0.25">
      <c r="A302" s="86" t="s">
        <v>298</v>
      </c>
      <c r="B302" s="89">
        <v>1551</v>
      </c>
      <c r="C302" s="59">
        <f>339440.2/1000</f>
        <v>339.4402</v>
      </c>
      <c r="D302" s="71">
        <f ca="1">IFERROR(__xludf.DUMMYFUNCTION("$C296*IMPORTRANGE(""https://docs.google.com/spreadsheets/d/1xsp01RMmkav9iTy39Zaj_7tE9677EGlOJ14KU9TZn7I/"",""2004-2017!H981"")"),246.829033033)</f>
        <v>246.829033033</v>
      </c>
      <c r="E302" s="71">
        <f ca="1">IFERROR(__xludf.DUMMYFUNCTION("$C296*IMPORTRANGE(""https://docs.google.com/spreadsheets/d/1xsp01RMmkav9iTy39Zaj_7tE9677EGlOJ14KU9TZn7I/"",""2004-2017!T981"")"),167.133565676)</f>
        <v>167.13356567599999</v>
      </c>
      <c r="F302" s="71">
        <f ca="1">IFERROR(__xludf.DUMMYFUNCTION("$C296*IMPORTRANGE(""https://docs.google.com/spreadsheets/d/1xsp01RMmkav9iTy39Zaj_7tE9677EGlOJ14KU9TZn7I/"",""2004-2017!AC981"")"),41377.7610588804)</f>
        <v>41377.761058880402</v>
      </c>
      <c r="G302" s="57" t="s">
        <v>8</v>
      </c>
      <c r="K302" s="2"/>
      <c r="L302" s="3"/>
      <c r="M302" s="52"/>
      <c r="N302" s="52"/>
      <c r="O302" s="52"/>
      <c r="P302" s="52"/>
      <c r="Q302" s="2"/>
    </row>
    <row r="303" spans="1:17" ht="13.2" x14ac:dyDescent="0.25">
      <c r="A303" s="87" t="s">
        <v>299</v>
      </c>
      <c r="B303" s="90">
        <v>1308</v>
      </c>
      <c r="C303" s="74">
        <f>114174.2/1000</f>
        <v>114.1742</v>
      </c>
      <c r="D303" s="75">
        <f ca="1">IFERROR(__xludf.DUMMYFUNCTION("$C297*IMPORTRANGE(""https://docs.google.com/spreadsheets/d/1xsp01RMmkav9iTy39Zaj_7tE9677EGlOJ14KU9TZn7I/"",""2004-2017!H1005"")"),83.693113826)</f>
        <v>83.693113826000001</v>
      </c>
      <c r="E303" s="75">
        <f ca="1">IFERROR(__xludf.DUMMYFUNCTION("$C297*IMPORTRANGE(""https://docs.google.com/spreadsheets/d/1xsp01RMmkav9iTy39Zaj_7tE9677EGlOJ14KU9TZn7I/"",""2004-2017!T1005"")"),56.701191204)</f>
        <v>56.701191203999997</v>
      </c>
      <c r="F303" s="75">
        <f ca="1">IFERROR(__xludf.DUMMYFUNCTION("$C297*IMPORTRANGE(""https://docs.google.com/spreadsheets/d/1xsp01RMmkav9iTy39Zaj_7tE9677EGlOJ14KU9TZn7I/"",""2004-2017!AC1005"")"),13280.742944)</f>
        <v>13280.742944</v>
      </c>
      <c r="G303" s="72" t="s">
        <v>8</v>
      </c>
      <c r="K303" s="2"/>
      <c r="L303" s="3"/>
      <c r="M303" s="52"/>
      <c r="N303" s="52"/>
      <c r="O303" s="52"/>
      <c r="P303" s="52"/>
      <c r="Q303" s="2"/>
    </row>
    <row r="304" spans="1:17" ht="13.2" x14ac:dyDescent="0.25">
      <c r="A304" s="86" t="s">
        <v>300</v>
      </c>
      <c r="B304" s="89">
        <v>1197</v>
      </c>
      <c r="C304" s="59">
        <f>123228/1000</f>
        <v>123.22799999999999</v>
      </c>
      <c r="D304" s="71">
        <f ca="1">IFERROR(__xludf.DUMMYFUNCTION("$C298*IMPORTRANGE(""https://docs.google.com/spreadsheets/d/1xsp01RMmkav9iTy39Zaj_7tE9677EGlOJ14KU9TZn7I/"",""2004-2017!H1026"")"),88.60216428)</f>
        <v>88.602164279999997</v>
      </c>
      <c r="E304" s="71">
        <f ca="1">IFERROR(__xludf.DUMMYFUNCTION("$C298*IMPORTRANGE(""https://docs.google.com/spreadsheets/d/1xsp01RMmkav9iTy39Zaj_7tE9677EGlOJ14KU9TZn7I/"",""2004-2017!T1026"")"),61.0372929599999)</f>
        <v>61.037292959999903</v>
      </c>
      <c r="F304" s="71">
        <f ca="1">IFERROR(__xludf.DUMMYFUNCTION("$C298*IMPORTRANGE(""https://docs.google.com/spreadsheets/d/1xsp01RMmkav9iTy39Zaj_7tE9677EGlOJ14KU9TZn7I/"",""2004-2017!AC1026"")"),14186.0077296839)</f>
        <v>14186.007729683901</v>
      </c>
      <c r="G304" s="57" t="s">
        <v>8</v>
      </c>
      <c r="K304" s="2"/>
      <c r="L304" s="3"/>
      <c r="M304" s="52"/>
      <c r="N304" s="52"/>
      <c r="O304" s="52"/>
      <c r="P304" s="52"/>
      <c r="Q304" s="2"/>
    </row>
    <row r="305" spans="1:17" ht="13.2" x14ac:dyDescent="0.25">
      <c r="A305" s="87" t="s">
        <v>301</v>
      </c>
      <c r="B305" s="90">
        <v>1326</v>
      </c>
      <c r="C305" s="74">
        <f>238709.1/1000</f>
        <v>238.70910000000001</v>
      </c>
      <c r="D305" s="75">
        <f ca="1">IFERROR(__xludf.DUMMYFUNCTION("$C299*IMPORTRANGE(""https://docs.google.com/spreadsheets/d/1xsp01RMmkav9iTy39Zaj_7tE9677EGlOJ14KU9TZn7I/"",""2004-2017!H1050"")"),168.058367673)</f>
        <v>168.05836767299999</v>
      </c>
      <c r="E305" s="75">
        <f ca="1">IFERROR(__xludf.DUMMYFUNCTION("$C299*IMPORTRANGE(""https://docs.google.com/spreadsheets/d/1xsp01RMmkav9iTy39Zaj_7tE9677EGlOJ14KU9TZn7I/"",""2004-2017!T1050"")"),116.876749542)</f>
        <v>116.876749542</v>
      </c>
      <c r="F305" s="75">
        <f ca="1">IFERROR(__xludf.DUMMYFUNCTION("$C299*IMPORTRANGE(""https://docs.google.com/spreadsheets/d/1xsp01RMmkav9iTy39Zaj_7tE9677EGlOJ14KU9TZn7I/"",""2004-2017!AC1050"")"),27642.5144961273)</f>
        <v>27642.5144961273</v>
      </c>
      <c r="G305" s="72" t="s">
        <v>8</v>
      </c>
      <c r="K305" s="2"/>
      <c r="L305" s="3"/>
      <c r="M305" s="52"/>
      <c r="N305" s="52"/>
      <c r="O305" s="52"/>
      <c r="P305" s="52"/>
      <c r="Q305" s="2"/>
    </row>
    <row r="306" spans="1:17" ht="13.2" x14ac:dyDescent="0.25">
      <c r="A306" s="86" t="s">
        <v>302</v>
      </c>
      <c r="B306" s="89">
        <v>1326</v>
      </c>
      <c r="C306" s="59">
        <f>383121.8/1000</f>
        <v>383.12180000000001</v>
      </c>
      <c r="D306" s="71">
        <f ca="1">IFERROR(__xludf.DUMMYFUNCTION("$C300*IMPORTRANGE(""https://docs.google.com/spreadsheets/d/1xsp01RMmkav9iTy39Zaj_7tE9677EGlOJ14KU9TZn7I/"",""2004-2017!H1073"")"),261.177962278)</f>
        <v>261.177962278</v>
      </c>
      <c r="E306" s="71">
        <f ca="1">IFERROR(__xludf.DUMMYFUNCTION("$C300*IMPORTRANGE(""https://docs.google.com/spreadsheets/d/1xsp01RMmkav9iTy39Zaj_7tE9677EGlOJ14KU9TZn7I/"",""2004-2017!T1073"")"),185.4309512)</f>
        <v>185.43095120000001</v>
      </c>
      <c r="F306" s="71">
        <f ca="1">IFERROR(__xludf.DUMMYFUNCTION("$C300*IMPORTRANGE(""https://docs.google.com/spreadsheets/d/1xsp01RMmkav9iTy39Zaj_7tE9677EGlOJ14KU9TZn7I/"",""2004-2017!AC1073"")"),42396.2599204872)</f>
        <v>42396.259920487202</v>
      </c>
      <c r="G306" s="57" t="s">
        <v>8</v>
      </c>
      <c r="K306" s="2"/>
      <c r="L306" s="3"/>
      <c r="M306" s="52"/>
      <c r="N306" s="52"/>
      <c r="O306" s="52"/>
      <c r="P306" s="52"/>
      <c r="Q306" s="2"/>
    </row>
    <row r="307" spans="1:17" ht="13.2" x14ac:dyDescent="0.25">
      <c r="A307" s="88" t="s">
        <v>303</v>
      </c>
      <c r="B307" s="91">
        <v>2032</v>
      </c>
      <c r="C307" s="78">
        <f>241046.4/1000</f>
        <v>241.04640000000001</v>
      </c>
      <c r="D307" s="79">
        <f ca="1">IFERROR(__xludf.DUMMYFUNCTION("$C301*IMPORTRANGE(""https://docs.google.com/spreadsheets/d/1xsp01RMmkav9iTy39Zaj_7tE9677EGlOJ14KU9TZn7I/"",""2004-2017!H1095"")"),165.015544512)</f>
        <v>165.01554451199999</v>
      </c>
      <c r="E307" s="79">
        <f ca="1">IFERROR(__xludf.DUMMYFUNCTION("$C301*IMPORTRANGE(""https://docs.google.com/spreadsheets/d/1xsp01RMmkav9iTy39Zaj_7tE9677EGlOJ14KU9TZn7I/"",""2004-2017!T1095"")"),119.248064544)</f>
        <v>119.248064544</v>
      </c>
      <c r="F307" s="79">
        <f ca="1">IFERROR(__xludf.DUMMYFUNCTION("$C301*IMPORTRANGE(""https://docs.google.com/spreadsheets/d/1xsp01RMmkav9iTy39Zaj_7tE9677EGlOJ14KU9TZn7I/"",""2004-2017!AC1095"")"),27079.1526965232)</f>
        <v>27079.152696523201</v>
      </c>
      <c r="G307" s="76" t="s">
        <v>8</v>
      </c>
      <c r="K307" s="2"/>
      <c r="L307" s="3"/>
      <c r="M307" s="52"/>
      <c r="N307" s="52"/>
      <c r="O307" s="52"/>
      <c r="P307" s="52"/>
      <c r="Q307" s="2"/>
    </row>
    <row r="308" spans="1:17" ht="13.2" x14ac:dyDescent="0.25">
      <c r="A308" s="68">
        <v>2008</v>
      </c>
      <c r="B308" s="69"/>
      <c r="C308" s="92"/>
      <c r="D308" s="92"/>
      <c r="E308" s="92"/>
      <c r="F308" s="92"/>
      <c r="G308" s="68"/>
      <c r="K308" s="2"/>
      <c r="L308" s="3"/>
      <c r="M308" s="52"/>
      <c r="N308" s="52"/>
      <c r="O308" s="52"/>
      <c r="P308" s="52"/>
      <c r="Q308" s="2"/>
    </row>
    <row r="309" spans="1:17" ht="13.2" x14ac:dyDescent="0.25">
      <c r="A309" s="86" t="s">
        <v>304</v>
      </c>
      <c r="B309" s="89">
        <v>1154</v>
      </c>
      <c r="C309" s="59">
        <f>134193.2/1000</f>
        <v>134.19320000000002</v>
      </c>
      <c r="D309" s="71">
        <f ca="1">IFERROR(__xludf.DUMMYFUNCTION("$C303*IMPORTRANGE(""https://docs.google.com/spreadsheets/d/1xsp01RMmkav9iTy39Zaj_7tE9677EGlOJ14KU9TZn7I/"",""2004-2017!H1120"")"),91.00982824)</f>
        <v>91.009828240000004</v>
      </c>
      <c r="E309" s="71">
        <f ca="1">IFERROR(__xludf.DUMMYFUNCTION("$C303*IMPORTRANGE(""https://docs.google.com/spreadsheets/d/1xsp01RMmkav9iTy39Zaj_7tE9677EGlOJ14KU9TZn7I/"",""2004-2017!T1120"")"),68.016494386)</f>
        <v>68.016494386000005</v>
      </c>
      <c r="F309" s="71">
        <f ca="1">IFERROR(__xludf.DUMMYFUNCTION("$C303*IMPORTRANGE(""https://docs.google.com/spreadsheets/d/1xsp01RMmkav9iTy39Zaj_7tE9677EGlOJ14KU9TZn7I/"",""2004-2017!AC1120"")"),14378.8016483864)</f>
        <v>14378.801648386399</v>
      </c>
      <c r="G309" s="57" t="s">
        <v>8</v>
      </c>
      <c r="K309" s="2"/>
      <c r="L309" s="3"/>
      <c r="M309" s="52"/>
      <c r="N309" s="52"/>
      <c r="O309" s="52"/>
      <c r="P309" s="52"/>
      <c r="Q309" s="2"/>
    </row>
    <row r="310" spans="1:17" ht="13.2" x14ac:dyDescent="0.25">
      <c r="A310" s="87" t="s">
        <v>305</v>
      </c>
      <c r="B310" s="90">
        <v>1160</v>
      </c>
      <c r="C310" s="74">
        <f>159037.8/1000</f>
        <v>159.03779999999998</v>
      </c>
      <c r="D310" s="75">
        <f ca="1">IFERROR(__xludf.DUMMYFUNCTION("$C304*IMPORTRANGE(""https://docs.google.com/spreadsheets/d/1xsp01RMmkav9iTy39Zaj_7tE9677EGlOJ14KU9TZn7I/"",""2004-2017!H1142"")"),107.969172041999)</f>
        <v>107.969172041999</v>
      </c>
      <c r="E310" s="75">
        <f ca="1">IFERROR(__xludf.DUMMYFUNCTION("$C304*IMPORTRANGE(""https://docs.google.com/spreadsheets/d/1xsp01RMmkav9iTy39Zaj_7tE9677EGlOJ14KU9TZn7I/"",""2004-2017!T1142"")"),80.9852285159999)</f>
        <v>80.985228515999907</v>
      </c>
      <c r="F310" s="75">
        <f ca="1">IFERROR(__xludf.DUMMYFUNCTION("$C304*IMPORTRANGE(""https://docs.google.com/spreadsheets/d/1xsp01RMmkav9iTy39Zaj_7tE9677EGlOJ14KU9TZn7I/"",""2004-2017!AC1142"")"),17071.1168158487)</f>
        <v>17071.116815848702</v>
      </c>
      <c r="G310" s="72" t="s">
        <v>8</v>
      </c>
      <c r="K310" s="2"/>
      <c r="L310" s="3"/>
      <c r="M310" s="52"/>
      <c r="N310" s="52"/>
      <c r="O310" s="52"/>
      <c r="P310" s="52"/>
      <c r="Q310" s="2"/>
    </row>
    <row r="311" spans="1:17" ht="13.2" x14ac:dyDescent="0.25">
      <c r="A311" s="86" t="s">
        <v>306</v>
      </c>
      <c r="B311" s="89">
        <v>1137</v>
      </c>
      <c r="C311" s="59">
        <f>132521.5/1000</f>
        <v>132.5215</v>
      </c>
      <c r="D311" s="71">
        <f ca="1">IFERROR(__xludf.DUMMYFUNCTION("$C305*IMPORTRANGE(""https://docs.google.com/spreadsheets/d/1xsp01RMmkav9iTy39Zaj_7tE9677EGlOJ14KU9TZn7I/"",""2004-2017!H1164"")"),84.883996395)</f>
        <v>84.883996394999997</v>
      </c>
      <c r="E311" s="71">
        <f ca="1">IFERROR(__xludf.DUMMYFUNCTION("$C305*IMPORTRANGE(""https://docs.google.com/spreadsheets/d/1xsp01RMmkav9iTy39Zaj_7tE9677EGlOJ14KU9TZn7I/"",""2004-2017!T1164"")"),66.174611025)</f>
        <v>66.174611025000004</v>
      </c>
      <c r="F311" s="71">
        <f ca="1">IFERROR(__xludf.DUMMYFUNCTION("$C305*IMPORTRANGE(""https://docs.google.com/spreadsheets/d/1xsp01RMmkav9iTy39Zaj_7tE9677EGlOJ14KU9TZn7I/"",""2004-2017!AC1164"")"),13262.751985043)</f>
        <v>13262.751985043</v>
      </c>
      <c r="G311" s="57" t="s">
        <v>8</v>
      </c>
      <c r="K311" s="2"/>
      <c r="L311" s="3"/>
      <c r="M311" s="52"/>
      <c r="N311" s="52"/>
      <c r="O311" s="52"/>
      <c r="P311" s="52"/>
      <c r="Q311" s="2"/>
    </row>
    <row r="312" spans="1:17" ht="13.2" x14ac:dyDescent="0.25">
      <c r="A312" s="87" t="s">
        <v>307</v>
      </c>
      <c r="B312" s="90">
        <v>1228</v>
      </c>
      <c r="C312" s="74">
        <f>141877.9/1000</f>
        <v>141.87789999999998</v>
      </c>
      <c r="D312" s="75">
        <f ca="1">IFERROR(__xludf.DUMMYFUNCTION("$C306*IMPORTRANGE(""https://docs.google.com/spreadsheets/d/1xsp01RMmkav9iTy39Zaj_7tE9677EGlOJ14KU9TZn7I/"",""2004-2017!H1186"")"),90.1563115549999)</f>
        <v>90.156311554999903</v>
      </c>
      <c r="E312" s="75">
        <f ca="1">IFERROR(__xludf.DUMMYFUNCTION("$C306*IMPORTRANGE(""https://docs.google.com/spreadsheets/d/1xsp01RMmkav9iTy39Zaj_7tE9677EGlOJ14KU9TZn7I/"",""2004-2017!T1186"")"),71.5717254339999)</f>
        <v>71.571725433999902</v>
      </c>
      <c r="F312" s="75">
        <f ca="1">IFERROR(__xludf.DUMMYFUNCTION("$C306*IMPORTRANGE(""https://docs.google.com/spreadsheets/d/1xsp01RMmkav9iTy39Zaj_7tE9677EGlOJ14KU9TZn7I/"",""2004-2017!AC1186"")"),14539.6476176336)</f>
        <v>14539.6476176336</v>
      </c>
      <c r="G312" s="72" t="s">
        <v>8</v>
      </c>
      <c r="K312" s="2"/>
      <c r="L312" s="3"/>
      <c r="M312" s="52"/>
      <c r="N312" s="52"/>
      <c r="O312" s="52"/>
      <c r="P312" s="52"/>
      <c r="Q312" s="2"/>
    </row>
    <row r="313" spans="1:17" ht="13.2" x14ac:dyDescent="0.25">
      <c r="A313" s="86" t="s">
        <v>308</v>
      </c>
      <c r="B313" s="89">
        <v>1155</v>
      </c>
      <c r="C313" s="59">
        <f>154354.7/1000</f>
        <v>154.35470000000001</v>
      </c>
      <c r="D313" s="71">
        <f ca="1">IFERROR(__xludf.DUMMYFUNCTION("$C307*IMPORTRANGE(""https://docs.google.com/spreadsheets/d/1xsp01RMmkav9iTy39Zaj_7tE9677EGlOJ14KU9TZn7I/"",""2004-2017!H1208"")"),99.353489749)</f>
        <v>99.353489749000005</v>
      </c>
      <c r="E313" s="71">
        <f ca="1">IFERROR(__xludf.DUMMYFUNCTION("$C307*IMPORTRANGE(""https://docs.google.com/spreadsheets/d/1xsp01RMmkav9iTy39Zaj_7tE9677EGlOJ14KU9TZn7I/"",""2004-2017!T1208"")"),78.296421575)</f>
        <v>78.296421574999997</v>
      </c>
      <c r="F313" s="71">
        <f ca="1">IFERROR(__xludf.DUMMYFUNCTION("$C307*IMPORTRANGE(""https://docs.google.com/spreadsheets/d/1xsp01RMmkav9iTy39Zaj_7tE9677EGlOJ14KU9TZn7I/"",""2004-2017!AC1208"")"),16148.5891770641)</f>
        <v>16148.589177064099</v>
      </c>
      <c r="G313" s="57" t="s">
        <v>8</v>
      </c>
      <c r="K313" s="2"/>
      <c r="L313" s="3"/>
      <c r="M313" s="52"/>
      <c r="N313" s="52"/>
      <c r="O313" s="52"/>
      <c r="P313" s="52"/>
      <c r="Q313" s="2"/>
    </row>
    <row r="314" spans="1:17" ht="13.2" x14ac:dyDescent="0.25">
      <c r="A314" s="87" t="s">
        <v>309</v>
      </c>
      <c r="B314" s="90">
        <v>1314</v>
      </c>
      <c r="C314" s="74">
        <f>283831.4/1000</f>
        <v>283.83140000000003</v>
      </c>
      <c r="D314" s="75">
        <f ca="1">IFERROR(__xludf.DUMMYFUNCTION("$C308*IMPORTRANGE(""https://docs.google.com/spreadsheets/d/1xsp01RMmkav9iTy39Zaj_7tE9677EGlOJ14KU9TZn7I/"",""2004-2017!H1230"")"),182.57454805)</f>
        <v>182.57454805</v>
      </c>
      <c r="E314" s="75">
        <f ca="1">IFERROR(__xludf.DUMMYFUNCTION("$C308*IMPORTRANGE(""https://docs.google.com/spreadsheets/d/1xsp01RMmkav9iTy39Zaj_7tE9677EGlOJ14KU9TZn7I/"",""2004-2017!T1230"")"),144.41341632)</f>
        <v>144.41341632000001</v>
      </c>
      <c r="F314" s="75">
        <f ca="1">IFERROR(__xludf.DUMMYFUNCTION("$C308*IMPORTRANGE(""https://docs.google.com/spreadsheets/d/1xsp01RMmkav9iTy39Zaj_7tE9677EGlOJ14KU9TZn7I/"",""2004-2017!AC1230"")"),30457.9469663372)</f>
        <v>30457.9469663372</v>
      </c>
      <c r="G314" s="72" t="s">
        <v>8</v>
      </c>
      <c r="K314" s="2"/>
      <c r="L314" s="3"/>
      <c r="M314" s="52"/>
      <c r="N314" s="52"/>
      <c r="O314" s="52"/>
      <c r="P314" s="52"/>
      <c r="Q314" s="2"/>
    </row>
    <row r="315" spans="1:17" ht="13.2" x14ac:dyDescent="0.25">
      <c r="A315" s="86" t="s">
        <v>310</v>
      </c>
      <c r="B315" s="89">
        <v>1233</v>
      </c>
      <c r="C315" s="59">
        <f>379579.8/1000</f>
        <v>379.57979999999998</v>
      </c>
      <c r="D315" s="71">
        <f ca="1">IFERROR(__xludf.DUMMYFUNCTION("$C309*IMPORTRANGE(""https://docs.google.com/spreadsheets/d/1xsp01RMmkav9iTy39Zaj_7tE9677EGlOJ14KU9TZn7I/"",""2004-2017!H1253"")"),241.177413324)</f>
        <v>241.17741332400001</v>
      </c>
      <c r="E315" s="71">
        <f ca="1">IFERROR(__xludf.DUMMYFUNCTION("$C309*IMPORTRANGE(""https://docs.google.com/spreadsheets/d/1xsp01RMmkav9iTy39Zaj_7tE9677EGlOJ14KU9TZn7I/"",""2004-2017!T1253"")"),190.771113783)</f>
        <v>190.771113783</v>
      </c>
      <c r="F315" s="71">
        <f ca="1">IFERROR(__xludf.DUMMYFUNCTION("$C309*IMPORTRANGE(""https://docs.google.com/spreadsheets/d/1xsp01RMmkav9iTy39Zaj_7tE9677EGlOJ14KU9TZn7I/"",""2004-2017!AC1253"")"),40618.07504861)</f>
        <v>40618.075048610001</v>
      </c>
      <c r="G315" s="57" t="s">
        <v>8</v>
      </c>
      <c r="K315" s="2"/>
      <c r="L315" s="3"/>
      <c r="M315" s="52"/>
      <c r="N315" s="52"/>
      <c r="O315" s="52"/>
      <c r="P315" s="52"/>
      <c r="Q315" s="2"/>
    </row>
    <row r="316" spans="1:17" ht="13.2" x14ac:dyDescent="0.25">
      <c r="A316" s="87" t="s">
        <v>311</v>
      </c>
      <c r="B316" s="90">
        <v>950</v>
      </c>
      <c r="C316" s="74">
        <f>127637/1000</f>
        <v>127.637</v>
      </c>
      <c r="D316" s="75">
        <f ca="1">IFERROR(__xludf.DUMMYFUNCTION("$C310*IMPORTRANGE(""https://docs.google.com/spreadsheets/d/1xsp01RMmkav9iTy39Zaj_7tE9677EGlOJ14KU9TZn7I/"",""2004-2017!H1275"")"),86.74465794)</f>
        <v>86.744657939999996</v>
      </c>
      <c r="E316" s="75">
        <f ca="1">IFERROR(__xludf.DUMMYFUNCTION("$C310*IMPORTRANGE(""https://docs.google.com/spreadsheets/d/1xsp01RMmkav9iTy39Zaj_7tE9677EGlOJ14KU9TZn7I/"",""2004-2017!T1275"")"),68.37258816)</f>
        <v>68.372588160000006</v>
      </c>
      <c r="F316" s="75">
        <f ca="1">IFERROR(__xludf.DUMMYFUNCTION("$C310*IMPORTRANGE(""https://docs.google.com/spreadsheets/d/1xsp01RMmkav9iTy39Zaj_7tE9677EGlOJ14KU9TZn7I/"",""2004-2017!AC1275"")"),13981.357107637)</f>
        <v>13981.357107637001</v>
      </c>
      <c r="G316" s="72" t="s">
        <v>8</v>
      </c>
      <c r="K316" s="2"/>
      <c r="L316" s="3"/>
      <c r="M316" s="52"/>
      <c r="N316" s="52"/>
      <c r="O316" s="52"/>
      <c r="P316" s="52"/>
      <c r="Q316" s="2"/>
    </row>
    <row r="317" spans="1:17" ht="13.2" x14ac:dyDescent="0.25">
      <c r="A317" s="86" t="s">
        <v>312</v>
      </c>
      <c r="B317" s="89">
        <v>1205</v>
      </c>
      <c r="C317" s="59">
        <f>213255.8/1000</f>
        <v>213.25579999999999</v>
      </c>
      <c r="D317" s="71">
        <f ca="1">IFERROR(__xludf.DUMMYFUNCTION("$C311*IMPORTRANGE(""https://docs.google.com/spreadsheets/d/1xsp01RMmkav9iTy39Zaj_7tE9677EGlOJ14KU9TZn7I/"",""2004-2017!H1298"")"),148.494278656)</f>
        <v>148.49427865600001</v>
      </c>
      <c r="E317" s="71">
        <f ca="1">IFERROR(__xludf.DUMMYFUNCTION("$C311*IMPORTRANGE(""https://docs.google.com/spreadsheets/d/1xsp01RMmkav9iTy39Zaj_7tE9677EGlOJ14KU9TZn7I/"",""2004-2017!T1298"")"),119.016995701)</f>
        <v>119.016995701</v>
      </c>
      <c r="F317" s="71">
        <f ca="1">IFERROR(__xludf.DUMMYFUNCTION("$C311*IMPORTRANGE(""https://docs.google.com/spreadsheets/d/1xsp01RMmkav9iTy39Zaj_7tE9677EGlOJ14KU9TZn7I/"",""2004-2017!AC1298"")"),22717.0744148837)</f>
        <v>22717.0744148837</v>
      </c>
      <c r="G317" s="57" t="s">
        <v>8</v>
      </c>
      <c r="K317" s="2"/>
      <c r="L317" s="3"/>
      <c r="M317" s="52"/>
      <c r="N317" s="52"/>
      <c r="O317" s="52"/>
      <c r="P317" s="52"/>
      <c r="Q317" s="2"/>
    </row>
    <row r="318" spans="1:17" ht="13.2" x14ac:dyDescent="0.25">
      <c r="A318" s="87" t="s">
        <v>313</v>
      </c>
      <c r="B318" s="90">
        <v>1037</v>
      </c>
      <c r="C318" s="74">
        <f>129875.5/1000</f>
        <v>129.87549999999999</v>
      </c>
      <c r="D318" s="75">
        <f ca="1">IFERROR(__xludf.DUMMYFUNCTION("$C312*IMPORTRANGE(""https://docs.google.com/spreadsheets/d/1xsp01RMmkav9iTy39Zaj_7tE9677EGlOJ14KU9TZn7I/"",""2004-2017!H1322"")"),96.755948745)</f>
        <v>96.755948744999998</v>
      </c>
      <c r="E318" s="75">
        <f ca="1">IFERROR(__xludf.DUMMYFUNCTION("$C312*IMPORTRANGE(""https://docs.google.com/spreadsheets/d/1xsp01RMmkav9iTy39Zaj_7tE9677EGlOJ14KU9TZn7I/"",""2004-2017!T1322"")"),75.81352437)</f>
        <v>75.813524369999996</v>
      </c>
      <c r="F318" s="75">
        <f ca="1">IFERROR(__xludf.DUMMYFUNCTION("$C312*IMPORTRANGE(""https://docs.google.com/spreadsheets/d/1xsp01RMmkav9iTy39Zaj_7tE9677EGlOJ14KU9TZn7I/"",""2004-2017!AC1322"")"),13130.4127902489)</f>
        <v>13130.4127902489</v>
      </c>
      <c r="G318" s="72" t="s">
        <v>8</v>
      </c>
      <c r="K318" s="2"/>
      <c r="L318" s="3"/>
      <c r="M318" s="52"/>
      <c r="N318" s="52"/>
      <c r="O318" s="52"/>
      <c r="P318" s="52"/>
      <c r="Q318" s="2"/>
    </row>
    <row r="319" spans="1:17" ht="13.2" x14ac:dyDescent="0.25">
      <c r="A319" s="86" t="s">
        <v>314</v>
      </c>
      <c r="B319" s="89">
        <v>937</v>
      </c>
      <c r="C319" s="59">
        <f>58300.5/1000</f>
        <v>58.3005</v>
      </c>
      <c r="D319" s="71">
        <f ca="1">IFERROR(__xludf.DUMMYFUNCTION("$C313*IMPORTRANGE(""https://docs.google.com/spreadsheets/d/1xsp01RMmkav9iTy39Zaj_7tE9677EGlOJ14KU9TZn7I/"",""2004-2017!H1343"")"),45.91863981)</f>
        <v>45.918639810000002</v>
      </c>
      <c r="E319" s="71">
        <f ca="1">IFERROR(__xludf.DUMMYFUNCTION("$C313*IMPORTRANGE(""https://docs.google.com/spreadsheets/d/1xsp01RMmkav9iTy39Zaj_7tE9677EGlOJ14KU9TZn7I/"",""2004-2017!T1343"")"),37.9591640474999)</f>
        <v>37.959164047499897</v>
      </c>
      <c r="F319" s="71">
        <f ca="1">IFERROR(__xludf.DUMMYFUNCTION("$C313*IMPORTRANGE(""https://docs.google.com/spreadsheets/d/1xsp01RMmkav9iTy39Zaj_7tE9677EGlOJ14KU9TZn7I/"",""2004-2017!AC1343"")"),5643.95494975125)</f>
        <v>5643.9549497512498</v>
      </c>
      <c r="G319" s="57" t="s">
        <v>8</v>
      </c>
      <c r="K319" s="2"/>
      <c r="L319" s="3"/>
      <c r="M319" s="52"/>
      <c r="N319" s="52"/>
      <c r="O319" s="52"/>
      <c r="P319" s="52"/>
      <c r="Q319" s="2"/>
    </row>
    <row r="320" spans="1:17" ht="13.2" x14ac:dyDescent="0.25">
      <c r="A320" s="88" t="s">
        <v>315</v>
      </c>
      <c r="B320" s="91">
        <v>1456</v>
      </c>
      <c r="C320" s="78">
        <f>114138.3/1000</f>
        <v>114.1383</v>
      </c>
      <c r="D320" s="79">
        <f ca="1">IFERROR(__xludf.DUMMYFUNCTION("$C314*IMPORTRANGE(""https://docs.google.com/spreadsheets/d/1xsp01RMmkav9iTy39Zaj_7tE9677EGlOJ14KU9TZn7I/"",""2004-2017!H1367"")"),81.890806101)</f>
        <v>81.890806100999995</v>
      </c>
      <c r="E320" s="79">
        <f ca="1">IFERROR(__xludf.DUMMYFUNCTION("$C314*IMPORTRANGE(""https://docs.google.com/spreadsheets/d/1xsp01RMmkav9iTy39Zaj_7tE9677EGlOJ14KU9TZn7I/"",""2004-2017!T1367"")"),77.131238991)</f>
        <v>77.131238991000004</v>
      </c>
      <c r="F320" s="79">
        <f ca="1">IFERROR(__xludf.DUMMYFUNCTION("$C314*IMPORTRANGE(""https://docs.google.com/spreadsheets/d/1xsp01RMmkav9iTy39Zaj_7tE9677EGlOJ14KU9TZn7I/"",""2004-2017!AC1367"")"),10360.3331485851)</f>
        <v>10360.333148585099</v>
      </c>
      <c r="G320" s="76" t="s">
        <v>8</v>
      </c>
      <c r="K320" s="2"/>
      <c r="L320" s="3"/>
      <c r="M320" s="52"/>
      <c r="N320" s="52"/>
      <c r="O320" s="52"/>
      <c r="P320" s="52"/>
      <c r="Q320" s="2"/>
    </row>
    <row r="321" spans="1:17" ht="13.2" x14ac:dyDescent="0.25">
      <c r="A321" s="68">
        <v>2009</v>
      </c>
      <c r="B321" s="69"/>
      <c r="C321" s="92"/>
      <c r="D321" s="92"/>
      <c r="E321" s="92"/>
      <c r="F321" s="92"/>
      <c r="G321" s="68"/>
      <c r="K321" s="2"/>
      <c r="L321" s="3"/>
      <c r="M321" s="52"/>
      <c r="N321" s="52"/>
      <c r="O321" s="52"/>
      <c r="P321" s="52"/>
      <c r="Q321" s="2"/>
    </row>
    <row r="322" spans="1:17" ht="13.2" x14ac:dyDescent="0.25">
      <c r="A322" s="86" t="s">
        <v>316</v>
      </c>
      <c r="B322" s="89">
        <v>781</v>
      </c>
      <c r="C322" s="59">
        <f>87152.1/1000</f>
        <v>87.152100000000004</v>
      </c>
      <c r="D322" s="71">
        <f ca="1">IFERROR(__xludf.DUMMYFUNCTION("$C316*IMPORTRANGE(""https://docs.google.com/spreadsheets/d/1xsp01RMmkav9iTy39Zaj_7tE9677EGlOJ14KU9TZn7I/"",""2004-2017!H1391"")"),65.979368826)</f>
        <v>65.979368825999998</v>
      </c>
      <c r="E322" s="71">
        <f ca="1">IFERROR(__xludf.DUMMYFUNCTION("$C316*IMPORTRANGE(""https://docs.google.com/spreadsheets/d/1xsp01RMmkav9iTy39Zaj_7tE9677EGlOJ14KU9TZn7I/"",""2004-2017!T1391"")"),59.9253481995)</f>
        <v>59.9253481995</v>
      </c>
      <c r="F322" s="71">
        <f ca="1">IFERROR(__xludf.DUMMYFUNCTION("$C316*IMPORTRANGE(""https://docs.google.com/spreadsheets/d/1xsp01RMmkav9iTy39Zaj_7tE9677EGlOJ14KU9TZn7I/"",""2004-2017!AC1391"")"),7837.1528539563)</f>
        <v>7837.1528539562996</v>
      </c>
      <c r="G322" s="57" t="s">
        <v>8</v>
      </c>
      <c r="K322" s="2"/>
      <c r="L322" s="3"/>
      <c r="M322" s="52"/>
      <c r="N322" s="52"/>
      <c r="O322" s="52"/>
      <c r="P322" s="52"/>
      <c r="Q322" s="2"/>
    </row>
    <row r="323" spans="1:17" ht="13.2" x14ac:dyDescent="0.25">
      <c r="A323" s="87" t="s">
        <v>317</v>
      </c>
      <c r="B323" s="90">
        <v>775</v>
      </c>
      <c r="C323" s="74">
        <f>71576.7/1000</f>
        <v>71.576700000000002</v>
      </c>
      <c r="D323" s="75">
        <f ca="1">IFERROR(__xludf.DUMMYFUNCTION("$C317*IMPORTRANGE(""https://docs.google.com/spreadsheets/d/1xsp01RMmkav9iTy39Zaj_7tE9677EGlOJ14KU9TZn7I/"",""2004-2017!H1412"")"),55.7657648534999)</f>
        <v>55.765764853499903</v>
      </c>
      <c r="E323" s="75">
        <f ca="1">IFERROR(__xludf.DUMMYFUNCTION("$C317*IMPORTRANGE(""https://docs.google.com/spreadsheets/d/1xsp01RMmkav9iTy39Zaj_7tE9677EGlOJ14KU9TZn7I/"",""2004-2017!T1412"")"),49.861760754)</f>
        <v>49.861760754000002</v>
      </c>
      <c r="F323" s="75">
        <f ca="1">IFERROR(__xludf.DUMMYFUNCTION("$C317*IMPORTRANGE(""https://docs.google.com/spreadsheets/d/1xsp01RMmkav9iTy39Zaj_7tE9677EGlOJ14KU9TZn7I/"",""2004-2017!AC1412"")"),6577.18292721165)</f>
        <v>6577.1829272116502</v>
      </c>
      <c r="G323" s="72" t="s">
        <v>8</v>
      </c>
      <c r="K323" s="2"/>
      <c r="L323" s="3"/>
      <c r="M323" s="52"/>
      <c r="N323" s="52"/>
      <c r="O323" s="52"/>
      <c r="P323" s="52"/>
      <c r="Q323" s="2"/>
    </row>
    <row r="324" spans="1:17" ht="13.2" x14ac:dyDescent="0.25">
      <c r="A324" s="86" t="s">
        <v>318</v>
      </c>
      <c r="B324" s="89">
        <v>947</v>
      </c>
      <c r="C324" s="59">
        <f>103083.7/1000</f>
        <v>103.08369999999999</v>
      </c>
      <c r="D324" s="71">
        <f ca="1">IFERROR(__xludf.DUMMYFUNCTION("$C318*IMPORTRANGE(""https://docs.google.com/spreadsheets/d/1xsp01RMmkav9iTy39Zaj_7tE9677EGlOJ14KU9TZn7I/"",""2004-2017!H1435"")"),79.2672419519999)</f>
        <v>79.267241951999907</v>
      </c>
      <c r="E324" s="71">
        <f ca="1">IFERROR(__xludf.DUMMYFUNCTION("$C318*IMPORTRANGE(""https://docs.google.com/spreadsheets/d/1xsp01RMmkav9iTy39Zaj_7tE9677EGlOJ14KU9TZn7I/"",""2004-2017!T1435"")"),72.8281186314999)</f>
        <v>72.828118631499905</v>
      </c>
      <c r="F324" s="71">
        <f ca="1">IFERROR(__xludf.DUMMYFUNCTION("$C318*IMPORTRANGE(""https://docs.google.com/spreadsheets/d/1xsp01RMmkav9iTy39Zaj_7tE9677EGlOJ14KU9TZn7I/"",""2004-2017!AC1435"")"),10105.8104779581)</f>
        <v>10105.810477958101</v>
      </c>
      <c r="G324" s="57" t="s">
        <v>8</v>
      </c>
      <c r="K324" s="2"/>
      <c r="L324" s="3"/>
      <c r="M324" s="52"/>
      <c r="N324" s="52"/>
      <c r="O324" s="52"/>
      <c r="P324" s="52"/>
      <c r="Q324" s="2"/>
    </row>
    <row r="325" spans="1:17" ht="13.2" x14ac:dyDescent="0.25">
      <c r="A325" s="87" t="s">
        <v>319</v>
      </c>
      <c r="B325" s="90">
        <v>861</v>
      </c>
      <c r="C325" s="74">
        <f>60587.6/1000</f>
        <v>60.587600000000002</v>
      </c>
      <c r="D325" s="75">
        <f ca="1">IFERROR(__xludf.DUMMYFUNCTION("$C319*IMPORTRANGE(""https://docs.google.com/spreadsheets/d/1xsp01RMmkav9iTy39Zaj_7tE9677EGlOJ14KU9TZn7I/"",""2004-2017!H1458"")"),45.79362277)</f>
        <v>45.793622769999999</v>
      </c>
      <c r="E325" s="75">
        <f ca="1">IFERROR(__xludf.DUMMYFUNCTION("$C319*IMPORTRANGE(""https://docs.google.com/spreadsheets/d/1xsp01RMmkav9iTy39Zaj_7tE9677EGlOJ14KU9TZn7I/"",""2004-2017!T1458"")"),41.14352447)</f>
        <v>41.143524470000003</v>
      </c>
      <c r="F325" s="75">
        <f ca="1">IFERROR(__xludf.DUMMYFUNCTION("$C319*IMPORTRANGE(""https://docs.google.com/spreadsheets/d/1xsp01RMmkav9iTy39Zaj_7tE9677EGlOJ14KU9TZn7I/"",""2004-2017!AC1458"")"),5999.6871808814)</f>
        <v>5999.6871808814003</v>
      </c>
      <c r="G325" s="72" t="s">
        <v>8</v>
      </c>
      <c r="K325" s="2"/>
      <c r="L325" s="3"/>
      <c r="M325" s="52"/>
      <c r="N325" s="52"/>
      <c r="O325" s="52"/>
      <c r="P325" s="52"/>
      <c r="Q325" s="2"/>
    </row>
    <row r="326" spans="1:17" ht="13.2" x14ac:dyDescent="0.25">
      <c r="A326" s="86" t="s">
        <v>320</v>
      </c>
      <c r="B326" s="89">
        <v>812</v>
      </c>
      <c r="C326" s="59">
        <f>87165.8/1000</f>
        <v>87.165800000000004</v>
      </c>
      <c r="D326" s="71">
        <f ca="1">IFERROR(__xludf.DUMMYFUNCTION("$C320*IMPORTRANGE(""https://docs.google.com/spreadsheets/d/1xsp01RMmkav9iTy39Zaj_7tE9677EGlOJ14KU9TZn7I/"",""2004-2017!H1480"")"),63.9230394299999)</f>
        <v>63.923039429999903</v>
      </c>
      <c r="E326" s="71">
        <f ca="1">IFERROR(__xludf.DUMMYFUNCTION("$C320*IMPORTRANGE(""https://docs.google.com/spreadsheets/d/1xsp01RMmkav9iTy39Zaj_7tE9677EGlOJ14KU9TZn7I/"",""2004-2017!T1480"")"),57.081395788)</f>
        <v>57.081395788000002</v>
      </c>
      <c r="F326" s="71">
        <f ca="1">IFERROR(__xludf.DUMMYFUNCTION("$C320*IMPORTRANGE(""https://docs.google.com/spreadsheets/d/1xsp01RMmkav9iTy39Zaj_7tE9677EGlOJ14KU9TZn7I/"",""2004-2017!AC1480"")"),8378.1149371026)</f>
        <v>8378.1149371026004</v>
      </c>
      <c r="G326" s="57" t="s">
        <v>8</v>
      </c>
      <c r="K326" s="2"/>
      <c r="L326" s="3"/>
      <c r="M326" s="52"/>
      <c r="N326" s="52"/>
      <c r="O326" s="52"/>
      <c r="P326" s="52"/>
      <c r="Q326" s="2"/>
    </row>
    <row r="327" spans="1:17" ht="13.2" x14ac:dyDescent="0.25">
      <c r="A327" s="87" t="s">
        <v>321</v>
      </c>
      <c r="B327" s="90">
        <v>1030</v>
      </c>
      <c r="C327" s="74">
        <f>80048/1000</f>
        <v>80.048000000000002</v>
      </c>
      <c r="D327" s="75">
        <f ca="1">IFERROR(__xludf.DUMMYFUNCTION("$C321*IMPORTRANGE(""https://docs.google.com/spreadsheets/d/1xsp01RMmkav9iTy39Zaj_7tE9677EGlOJ14KU9TZn7I/"",""2004-2017!H1503"")"),57.204302)</f>
        <v>57.204301999999998</v>
      </c>
      <c r="E327" s="75">
        <f ca="1">IFERROR(__xludf.DUMMYFUNCTION("$C321*IMPORTRANGE(""https://docs.google.com/spreadsheets/d/1xsp01RMmkav9iTy39Zaj_7tE9677EGlOJ14KU9TZn7I/"",""2004-2017!T1503"")"),48.83208168)</f>
        <v>48.832081680000002</v>
      </c>
      <c r="F327" s="75">
        <f ca="1">IFERROR(__xludf.DUMMYFUNCTION("$C321*IMPORTRANGE(""https://docs.google.com/spreadsheets/d/1xsp01RMmkav9iTy39Zaj_7tE9677EGlOJ14KU9TZn7I/"",""2004-2017!AC1503"")"),7725.51264807199)</f>
        <v>7725.51264807199</v>
      </c>
      <c r="G327" s="72" t="s">
        <v>8</v>
      </c>
      <c r="K327" s="2"/>
      <c r="L327" s="3"/>
      <c r="M327" s="52"/>
      <c r="N327" s="52"/>
      <c r="O327" s="52"/>
      <c r="P327" s="52"/>
      <c r="Q327" s="2"/>
    </row>
    <row r="328" spans="1:17" ht="13.2" x14ac:dyDescent="0.25">
      <c r="A328" s="86" t="s">
        <v>322</v>
      </c>
      <c r="B328" s="89">
        <v>989</v>
      </c>
      <c r="C328" s="59">
        <f>75007.9/1000</f>
        <v>75.007899999999992</v>
      </c>
      <c r="D328" s="71">
        <f ca="1">IFERROR(__xludf.DUMMYFUNCTION("$C322*IMPORTRANGE(""https://docs.google.com/spreadsheets/d/1xsp01RMmkav9iTy39Zaj_7tE9677EGlOJ14KU9TZn7I/"",""2004-2017!H1527"")"),53.1896020479999)</f>
        <v>53.189602047999898</v>
      </c>
      <c r="E328" s="71">
        <f ca="1">IFERROR(__xludf.DUMMYFUNCTION("$C322*IMPORTRANGE(""https://docs.google.com/spreadsheets/d/1xsp01RMmkav9iTy39Zaj_7tE9677EGlOJ14KU9TZn7I/"",""2004-2017!T1527"")"),45.7060638649999)</f>
        <v>45.706063864999898</v>
      </c>
      <c r="F328" s="71">
        <f ca="1">IFERROR(__xludf.DUMMYFUNCTION("$C322*IMPORTRANGE(""https://docs.google.com/spreadsheets/d/1xsp01RMmkav9iTy39Zaj_7tE9677EGlOJ14KU9TZn7I/"",""2004-2017!AC1527"")"),7079.2453769763)</f>
        <v>7079.2453769762997</v>
      </c>
      <c r="G328" s="57" t="s">
        <v>8</v>
      </c>
      <c r="K328" s="2"/>
      <c r="L328" s="3"/>
      <c r="M328" s="52"/>
      <c r="N328" s="52"/>
      <c r="O328" s="52"/>
      <c r="P328" s="52"/>
      <c r="Q328" s="2"/>
    </row>
    <row r="329" spans="1:17" ht="13.2" x14ac:dyDescent="0.25">
      <c r="A329" s="87" t="s">
        <v>323</v>
      </c>
      <c r="B329" s="90">
        <v>843</v>
      </c>
      <c r="C329" s="74">
        <f>69567.8/1000</f>
        <v>69.567800000000005</v>
      </c>
      <c r="D329" s="75">
        <f ca="1">IFERROR(__xludf.DUMMYFUNCTION("$C323*IMPORTRANGE(""https://docs.google.com/spreadsheets/d/1xsp01RMmkav9iTy39Zaj_7tE9677EGlOJ14KU9TZn7I/"",""2004-2017!H1549"")"),48.730852544)</f>
        <v>48.730852544000001</v>
      </c>
      <c r="E329" s="75">
        <f ca="1">IFERROR(__xludf.DUMMYFUNCTION("$C323*IMPORTRANGE(""https://docs.google.com/spreadsheets/d/1xsp01RMmkav9iTy39Zaj_7tE9677EGlOJ14KU9TZn7I/"",""2004-2017!T1549"")"),42.136520782)</f>
        <v>42.136520781999998</v>
      </c>
      <c r="F329" s="75">
        <f ca="1">IFERROR(__xludf.DUMMYFUNCTION("$C323*IMPORTRANGE(""https://docs.google.com/spreadsheets/d/1xsp01RMmkav9iTy39Zaj_7tE9677EGlOJ14KU9TZn7I/"",""2004-2017!AC1549"")"),6594.7490296644)</f>
        <v>6594.7490296644</v>
      </c>
      <c r="G329" s="72" t="s">
        <v>8</v>
      </c>
      <c r="K329" s="2"/>
      <c r="L329" s="3"/>
      <c r="M329" s="52"/>
      <c r="N329" s="52"/>
      <c r="O329" s="52"/>
      <c r="P329" s="52"/>
      <c r="Q329" s="2"/>
    </row>
    <row r="330" spans="1:17" ht="13.2" x14ac:dyDescent="0.25">
      <c r="A330" s="86" t="s">
        <v>324</v>
      </c>
      <c r="B330" s="89">
        <v>1041</v>
      </c>
      <c r="C330" s="59">
        <f>137535.1/1000</f>
        <v>137.5351</v>
      </c>
      <c r="D330" s="71">
        <f ca="1">IFERROR(__xludf.DUMMYFUNCTION("$C324*IMPORTRANGE(""https://docs.google.com/spreadsheets/d/1xsp01RMmkav9iTy39Zaj_7tE9677EGlOJ14KU9TZn7I/"",""2004-2017!H1572"")"),93.9935503665)</f>
        <v>93.993550366500003</v>
      </c>
      <c r="E330" s="71">
        <f ca="1">IFERROR(__xludf.DUMMYFUNCTION("$C324*IMPORTRANGE(""https://docs.google.com/spreadsheets/d/1xsp01RMmkav9iTy39Zaj_7tE9677EGlOJ14KU9TZn7I/"",""2004-2017!T1572"")"),84.142598829)</f>
        <v>84.142598828999994</v>
      </c>
      <c r="F330" s="71">
        <f ca="1">IFERROR(__xludf.DUMMYFUNCTION("$C324*IMPORTRANGE(""https://docs.google.com/spreadsheets/d/1xsp01RMmkav9iTy39Zaj_7tE9677EGlOJ14KU9TZn7I/"",""2004-2017!AC1572"")"),12548.4273162649)</f>
        <v>12548.427316264901</v>
      </c>
      <c r="G330" s="57" t="s">
        <v>8</v>
      </c>
      <c r="K330" s="2"/>
      <c r="L330" s="3"/>
      <c r="M330" s="52"/>
      <c r="N330" s="52"/>
      <c r="O330" s="52"/>
      <c r="P330" s="52"/>
      <c r="Q330" s="2"/>
    </row>
    <row r="331" spans="1:17" ht="13.2" x14ac:dyDescent="0.25">
      <c r="A331" s="87" t="s">
        <v>325</v>
      </c>
      <c r="B331" s="90">
        <v>1155</v>
      </c>
      <c r="C331" s="74">
        <f>104415/1000</f>
        <v>104.41500000000001</v>
      </c>
      <c r="D331" s="75">
        <f ca="1">IFERROR(__xludf.DUMMYFUNCTION("$C325*IMPORTRANGE(""https://docs.google.com/spreadsheets/d/1xsp01RMmkav9iTy39Zaj_7tE9677EGlOJ14KU9TZn7I/"",""2004-2017!H1595"")"),70.414865625)</f>
        <v>70.414865625000004</v>
      </c>
      <c r="E331" s="75">
        <f ca="1">IFERROR(__xludf.DUMMYFUNCTION("$C325*IMPORTRANGE(""https://docs.google.com/spreadsheets/d/1xsp01RMmkav9iTy39Zaj_7tE9677EGlOJ14KU9TZn7I/"",""2004-2017!T1595"")"),64.03667535)</f>
        <v>64.036675349999996</v>
      </c>
      <c r="F331" s="75">
        <f ca="1">IFERROR(__xludf.DUMMYFUNCTION("$C325*IMPORTRANGE(""https://docs.google.com/spreadsheets/d/1xsp01RMmkav9iTy39Zaj_7tE9677EGlOJ14KU9TZn7I/"",""2004-2017!AC1595"")"),9431.80674117)</f>
        <v>9431.8067411699994</v>
      </c>
      <c r="G331" s="72" t="s">
        <v>8</v>
      </c>
      <c r="K331" s="2"/>
      <c r="L331" s="3"/>
      <c r="M331" s="52"/>
      <c r="N331" s="52"/>
      <c r="O331" s="52"/>
      <c r="P331" s="52"/>
      <c r="Q331" s="2"/>
    </row>
    <row r="332" spans="1:17" ht="13.2" x14ac:dyDescent="0.25">
      <c r="A332" s="86" t="s">
        <v>326</v>
      </c>
      <c r="B332" s="89">
        <v>1189</v>
      </c>
      <c r="C332" s="59">
        <f>151338.3/1000</f>
        <v>151.33829999999998</v>
      </c>
      <c r="D332" s="71">
        <f ca="1">IFERROR(__xludf.DUMMYFUNCTION("$C326*IMPORTRANGE(""https://docs.google.com/spreadsheets/d/1xsp01RMmkav9iTy39Zaj_7tE9677EGlOJ14KU9TZn7I/"",""2004-2017!H1617"")"),101.202947975999)</f>
        <v>101.202947975999</v>
      </c>
      <c r="E332" s="71">
        <f ca="1">IFERROR(__xludf.DUMMYFUNCTION("$C326*IMPORTRANGE(""https://docs.google.com/spreadsheets/d/1xsp01RMmkav9iTy39Zaj_7tE9677EGlOJ14KU9TZn7I/"",""2004-2017!T1617"")"),91.2388343039999)</f>
        <v>91.238834303999894</v>
      </c>
      <c r="F332" s="71">
        <f ca="1">IFERROR(__xludf.DUMMYFUNCTION("$C326*IMPORTRANGE(""https://docs.google.com/spreadsheets/d/1xsp01RMmkav9iTy39Zaj_7tE9677EGlOJ14KU9TZn7I/"",""2004-2017!AC1617"")"),13529.3417974148)</f>
        <v>13529.3417974148</v>
      </c>
      <c r="G332" s="57" t="s">
        <v>8</v>
      </c>
      <c r="K332" s="2"/>
      <c r="L332" s="3"/>
      <c r="M332" s="52"/>
      <c r="N332" s="52"/>
      <c r="O332" s="52"/>
      <c r="P332" s="52"/>
      <c r="Q332" s="2"/>
    </row>
    <row r="333" spans="1:17" ht="13.2" x14ac:dyDescent="0.25">
      <c r="A333" s="88" t="s">
        <v>327</v>
      </c>
      <c r="B333" s="91">
        <v>1558</v>
      </c>
      <c r="C333" s="78">
        <f>195726.5/1000</f>
        <v>195.72649999999999</v>
      </c>
      <c r="D333" s="79">
        <f ca="1">IFERROR(__xludf.DUMMYFUNCTION("$C327*IMPORTRANGE(""https://docs.google.com/spreadsheets/d/1xsp01RMmkav9iTy39Zaj_7tE9677EGlOJ14KU9TZn7I/"",""2004-2017!H1641"")"),134.74203713)</f>
        <v>134.74203713</v>
      </c>
      <c r="E333" s="79">
        <f ca="1">IFERROR(__xludf.DUMMYFUNCTION("$C327*IMPORTRANGE(""https://docs.google.com/spreadsheets/d/1xsp01RMmkav9iTy39Zaj_7tE9677EGlOJ14KU9TZn7I/"",""2004-2017!T1641"")"),120.454002629999)</f>
        <v>120.454002629999</v>
      </c>
      <c r="F333" s="79">
        <f ca="1">IFERROR(__xludf.DUMMYFUNCTION("$C327*IMPORTRANGE(""https://docs.google.com/spreadsheets/d/1xsp01RMmkav9iTy39Zaj_7tE9677EGlOJ14KU9TZn7I/"",""2004-2017!AC1641"")"),17586.025633547)</f>
        <v>17586.025633547</v>
      </c>
      <c r="G333" s="76" t="s">
        <v>8</v>
      </c>
      <c r="K333" s="2"/>
      <c r="L333" s="3"/>
      <c r="M333" s="52"/>
      <c r="N333" s="52"/>
      <c r="O333" s="52"/>
      <c r="P333" s="52"/>
      <c r="Q333" s="2"/>
    </row>
    <row r="334" spans="1:17" ht="13.2" x14ac:dyDescent="0.25">
      <c r="A334" s="68">
        <v>2010</v>
      </c>
      <c r="B334" s="69"/>
      <c r="C334" s="92"/>
      <c r="D334" s="92"/>
      <c r="E334" s="92"/>
      <c r="F334" s="92"/>
      <c r="G334" s="68"/>
      <c r="K334" s="2"/>
      <c r="L334" s="3"/>
      <c r="M334" s="52"/>
      <c r="N334" s="52"/>
      <c r="O334" s="52"/>
      <c r="P334" s="52"/>
      <c r="Q334" s="2"/>
    </row>
    <row r="335" spans="1:17" ht="13.2" x14ac:dyDescent="0.25">
      <c r="A335" s="86" t="s">
        <v>328</v>
      </c>
      <c r="B335" s="89">
        <v>1086</v>
      </c>
      <c r="C335" s="59">
        <f>73054/1000</f>
        <v>73.054000000000002</v>
      </c>
      <c r="D335" s="71">
        <f ca="1">IFERROR(__xludf.DUMMYFUNCTION("$C329*IMPORTRANGE(""https://docs.google.com/spreadsheets/d/1xsp01RMmkav9iTy39Zaj_7tE9677EGlOJ14KU9TZn7I/"",""2004-2017!H1664"")"),50.85215886)</f>
        <v>50.852158860000003</v>
      </c>
      <c r="E335" s="71">
        <f ca="1">IFERROR(__xludf.DUMMYFUNCTION("$C329*IMPORTRANGE(""https://docs.google.com/spreadsheets/d/1xsp01RMmkav9iTy39Zaj_7tE9677EGlOJ14KU9TZn7I/"",""2004-2017!T1664"")"),45.24307274)</f>
        <v>45.243072740000002</v>
      </c>
      <c r="F335" s="71">
        <f ca="1">IFERROR(__xludf.DUMMYFUNCTION("$C329*IMPORTRANGE(""https://docs.google.com/spreadsheets/d/1xsp01RMmkav9iTy39Zaj_7tE9677EGlOJ14KU9TZn7I/"",""2004-2017!AC1664"")"),6661.940441054)</f>
        <v>6661.9404410540001</v>
      </c>
      <c r="G335" s="57" t="s">
        <v>8</v>
      </c>
      <c r="K335" s="2"/>
      <c r="L335" s="3"/>
      <c r="M335" s="52"/>
      <c r="N335" s="52"/>
      <c r="O335" s="52"/>
      <c r="P335" s="52"/>
      <c r="Q335" s="2"/>
    </row>
    <row r="336" spans="1:17" ht="13.2" x14ac:dyDescent="0.25">
      <c r="A336" s="87" t="s">
        <v>329</v>
      </c>
      <c r="B336" s="90">
        <v>1152</v>
      </c>
      <c r="C336" s="74">
        <f>105844.4/1000</f>
        <v>105.84439999999999</v>
      </c>
      <c r="D336" s="75">
        <f ca="1">IFERROR(__xludf.DUMMYFUNCTION("$C330*IMPORTRANGE(""https://docs.google.com/spreadsheets/d/1xsp01RMmkav9iTy39Zaj_7tE9677EGlOJ14KU9TZn7I/"",""2004-2017!H1685"")"),77.571243872)</f>
        <v>77.571243871999997</v>
      </c>
      <c r="E336" s="75">
        <f ca="1">IFERROR(__xludf.DUMMYFUNCTION("$C330*IMPORTRANGE(""https://docs.google.com/spreadsheets/d/1xsp01RMmkav9iTy39Zaj_7tE9677EGlOJ14KU9TZn7I/"",""2004-2017!T1685"")"),67.577944846)</f>
        <v>67.577944845999994</v>
      </c>
      <c r="F336" s="75">
        <f ca="1">IFERROR(__xludf.DUMMYFUNCTION("$C330*IMPORTRANGE(""https://docs.google.com/spreadsheets/d/1xsp01RMmkav9iTy39Zaj_7tE9677EGlOJ14KU9TZn7I/"",""2004-2017!AC1685"")"),9537.1100324554)</f>
        <v>9537.1100324554009</v>
      </c>
      <c r="G336" s="72" t="s">
        <v>8</v>
      </c>
      <c r="K336" s="2"/>
      <c r="L336" s="3"/>
      <c r="M336" s="52"/>
      <c r="N336" s="52"/>
      <c r="O336" s="52"/>
      <c r="P336" s="52"/>
      <c r="Q336" s="2"/>
    </row>
    <row r="337" spans="1:17" ht="13.2" x14ac:dyDescent="0.25">
      <c r="A337" s="86" t="s">
        <v>330</v>
      </c>
      <c r="B337" s="89">
        <v>1330</v>
      </c>
      <c r="C337" s="59">
        <f>148078.2/1000</f>
        <v>148.07820000000001</v>
      </c>
      <c r="D337" s="71">
        <f ca="1">IFERROR(__xludf.DUMMYFUNCTION("$C331*IMPORTRANGE(""https://docs.google.com/spreadsheets/d/1xsp01RMmkav9iTy39Zaj_7tE9677EGlOJ14KU9TZn7I/"",""2004-2017!H1709"")"),108.825630744)</f>
        <v>108.82563074399999</v>
      </c>
      <c r="E337" s="71">
        <f ca="1">IFERROR(__xludf.DUMMYFUNCTION("$C331*IMPORTRANGE(""https://docs.google.com/spreadsheets/d/1xsp01RMmkav9iTy39Zaj_7tE9677EGlOJ14KU9TZn7I/"",""2004-2017!T1709"")"),98.443868142)</f>
        <v>98.443868141999999</v>
      </c>
      <c r="F337" s="71">
        <f ca="1">IFERROR(__xludf.DUMMYFUNCTION("$C331*IMPORTRANGE(""https://docs.google.com/spreadsheets/d/1xsp01RMmkav9iTy39Zaj_7tE9677EGlOJ14KU9TZn7I/"",""2004-2017!AC1709"")"),13386.7135146)</f>
        <v>13386.7135146</v>
      </c>
      <c r="G337" s="57" t="s">
        <v>8</v>
      </c>
      <c r="K337" s="2"/>
      <c r="L337" s="3"/>
      <c r="M337" s="52"/>
      <c r="N337" s="52"/>
      <c r="O337" s="52"/>
      <c r="P337" s="52"/>
      <c r="Q337" s="2"/>
    </row>
    <row r="338" spans="1:17" ht="13.2" x14ac:dyDescent="0.25">
      <c r="A338" s="87" t="s">
        <v>331</v>
      </c>
      <c r="B338" s="81">
        <v>1168</v>
      </c>
      <c r="C338" s="74">
        <f>80826.9/1000</f>
        <v>80.826899999999995</v>
      </c>
      <c r="D338" s="75">
        <f ca="1">IFERROR(__xludf.DUMMYFUNCTION("$C332*IMPORTRANGE(""https://docs.google.com/spreadsheets/d/1xsp01RMmkav9iTy39Zaj_7tE9677EGlOJ14KU9TZn7I/"",""2004-2017!H1732"")"),60.2354389559999)</f>
        <v>60.235438955999903</v>
      </c>
      <c r="E338" s="75">
        <f ca="1">IFERROR(__xludf.DUMMYFUNCTION("$C332*IMPORTRANGE(""https://docs.google.com/spreadsheets/d/1xsp01RMmkav9iTy39Zaj_7tE9677EGlOJ14KU9TZn7I/"",""2004-2017!T1732"")"),52.6219491105)</f>
        <v>52.621949110499997</v>
      </c>
      <c r="F338" s="75">
        <f ca="1">IFERROR(__xludf.DUMMYFUNCTION("$C332*IMPORTRANGE(""https://docs.google.com/spreadsheets/d/1xsp01RMmkav9iTy39Zaj_7tE9677EGlOJ14KU9TZn7I/"",""2004-2017!AC1732"")"),7545.83789185379)</f>
        <v>7545.8378918537901</v>
      </c>
      <c r="G338" s="72" t="s">
        <v>8</v>
      </c>
      <c r="K338" s="2"/>
      <c r="L338" s="3"/>
      <c r="M338" s="52"/>
      <c r="N338" s="52"/>
      <c r="O338" s="52"/>
      <c r="P338" s="52"/>
      <c r="Q338" s="2"/>
    </row>
    <row r="339" spans="1:17" ht="13.2" x14ac:dyDescent="0.25">
      <c r="A339" s="86" t="s">
        <v>332</v>
      </c>
      <c r="B339" s="89">
        <v>1240</v>
      </c>
      <c r="C339" s="59">
        <f>143868.4/1000</f>
        <v>143.86840000000001</v>
      </c>
      <c r="D339" s="71">
        <f ca="1">IFERROR(__xludf.DUMMYFUNCTION("$C333*IMPORTRANGE(""https://docs.google.com/spreadsheets/d/1xsp01RMmkav9iTy39Zaj_7tE9677EGlOJ14KU9TZn7I/"",""2004-2017!H1754"")"),115.28894234)</f>
        <v>115.28894234000001</v>
      </c>
      <c r="E339" s="71">
        <f ca="1">IFERROR(__xludf.DUMMYFUNCTION("$C333*IMPORTRANGE(""https://docs.google.com/spreadsheets/d/1xsp01RMmkav9iTy39Zaj_7tE9677EGlOJ14KU9TZn7I/"",""2004-2017!T1754"")"),98.95987894)</f>
        <v>98.959878939999996</v>
      </c>
      <c r="F339" s="71">
        <f ca="1">IFERROR(__xludf.DUMMYFUNCTION("$C333*IMPORTRANGE(""https://docs.google.com/spreadsheets/d/1xsp01RMmkav9iTy39Zaj_7tE9677EGlOJ14KU9TZn7I/"",""2004-2017!AC1754"")"),13175.4683597368)</f>
        <v>13175.4683597368</v>
      </c>
      <c r="G339" s="57" t="s">
        <v>8</v>
      </c>
      <c r="K339" s="2"/>
      <c r="L339" s="3"/>
      <c r="M339" s="52"/>
      <c r="N339" s="52"/>
      <c r="O339" s="52"/>
      <c r="P339" s="52"/>
      <c r="Q339" s="2"/>
    </row>
    <row r="340" spans="1:17" ht="13.2" x14ac:dyDescent="0.25">
      <c r="A340" s="87" t="s">
        <v>333</v>
      </c>
      <c r="B340" s="90">
        <v>1371</v>
      </c>
      <c r="C340" s="74">
        <f>111386.2/1000</f>
        <v>111.3862</v>
      </c>
      <c r="D340" s="75">
        <f ca="1">IFERROR(__xludf.DUMMYFUNCTION("$C334*IMPORTRANGE(""https://docs.google.com/spreadsheets/d/1xsp01RMmkav9iTy39Zaj_7tE9677EGlOJ14KU9TZn7I/"",""2004-2017!H1777"")"),91.031485812)</f>
        <v>91.031485812</v>
      </c>
      <c r="E340" s="75">
        <f ca="1">IFERROR(__xludf.DUMMYFUNCTION("$C334*IMPORTRANGE(""https://docs.google.com/spreadsheets/d/1xsp01RMmkav9iTy39Zaj_7tE9677EGlOJ14KU9TZn7I/"",""2004-2017!T1777"")"),75.526526772)</f>
        <v>75.526526771999997</v>
      </c>
      <c r="F340" s="75">
        <f ca="1">IFERROR(__xludf.DUMMYFUNCTION("$C334*IMPORTRANGE(""https://docs.google.com/spreadsheets/d/1xsp01RMmkav9iTy39Zaj_7tE9677EGlOJ14KU9TZn7I/"",""2004-2017!AC1777"")"),10158.9224551276)</f>
        <v>10158.9224551276</v>
      </c>
      <c r="G340" s="72" t="s">
        <v>8</v>
      </c>
      <c r="K340" s="2"/>
      <c r="L340" s="3"/>
      <c r="M340" s="52"/>
      <c r="N340" s="52"/>
      <c r="O340" s="52"/>
      <c r="P340" s="52"/>
      <c r="Q340" s="2"/>
    </row>
    <row r="341" spans="1:17" ht="13.2" x14ac:dyDescent="0.25">
      <c r="A341" s="86" t="s">
        <v>334</v>
      </c>
      <c r="B341" s="89">
        <v>1316</v>
      </c>
      <c r="C341" s="59">
        <f>157790.2/1000</f>
        <v>157.7902</v>
      </c>
      <c r="D341" s="71">
        <f ca="1">IFERROR(__xludf.DUMMYFUNCTION("$C335*IMPORTRANGE(""https://docs.google.com/spreadsheets/d/1xsp01RMmkav9iTy39Zaj_7tE9677EGlOJ14KU9TZn7I/"",""2004-2017!H1800"")"),122.983259781999)</f>
        <v>122.983259781999</v>
      </c>
      <c r="E341" s="71">
        <f ca="1">IFERROR(__xludf.DUMMYFUNCTION("$C335*IMPORTRANGE(""https://docs.google.com/spreadsheets/d/1xsp01RMmkav9iTy39Zaj_7tE9677EGlOJ14KU9TZn7I/"",""2004-2017!T1800"")"),103.490647424999)</f>
        <v>103.490647424999</v>
      </c>
      <c r="F341" s="71">
        <f ca="1">IFERROR(__xludf.DUMMYFUNCTION("$C335*IMPORTRANGE(""https://docs.google.com/spreadsheets/d/1xsp01RMmkav9iTy39Zaj_7tE9677EGlOJ14KU9TZn7I/"",""2004-2017!AC1800"")"),13806.6425)</f>
        <v>13806.6425</v>
      </c>
      <c r="G341" s="57" t="s">
        <v>8</v>
      </c>
      <c r="K341" s="2"/>
      <c r="L341" s="3"/>
      <c r="M341" s="52"/>
      <c r="N341" s="52"/>
      <c r="O341" s="52"/>
      <c r="P341" s="52"/>
      <c r="Q341" s="2"/>
    </row>
    <row r="342" spans="1:17" ht="13.2" x14ac:dyDescent="0.25">
      <c r="A342" s="87" t="s">
        <v>335</v>
      </c>
      <c r="B342" s="90">
        <v>1228</v>
      </c>
      <c r="C342" s="74">
        <f>174641.9/1000</f>
        <v>174.64189999999999</v>
      </c>
      <c r="D342" s="75">
        <f ca="1">IFERROR(__xludf.DUMMYFUNCTION("$C336*IMPORTRANGE(""https://docs.google.com/spreadsheets/d/1xsp01RMmkav9iTy39Zaj_7tE9677EGlOJ14KU9TZn7I/"",""2004-2017!H1823"")"),136.046040099999)</f>
        <v>136.046040099999</v>
      </c>
      <c r="E342" s="75">
        <f ca="1">IFERROR(__xludf.DUMMYFUNCTION("$C336*IMPORTRANGE(""https://docs.google.com/spreadsheets/d/1xsp01RMmkav9iTy39Zaj_7tE9677EGlOJ14KU9TZn7I/"",""2004-2017!T1823"")"),111.9428382715)</f>
        <v>111.94283827149999</v>
      </c>
      <c r="F342" s="75">
        <f ca="1">IFERROR(__xludf.DUMMYFUNCTION("$C336*IMPORTRANGE(""https://docs.google.com/spreadsheets/d/1xsp01RMmkav9iTy39Zaj_7tE9677EGlOJ14KU9TZn7I/"",""2004-2017!AC1823"")"),14926.7306012709)</f>
        <v>14926.7306012709</v>
      </c>
      <c r="G342" s="72" t="s">
        <v>8</v>
      </c>
      <c r="K342" s="2"/>
      <c r="L342" s="3"/>
      <c r="M342" s="52"/>
      <c r="N342" s="52"/>
      <c r="O342" s="52"/>
      <c r="P342" s="52"/>
      <c r="Q342" s="2"/>
    </row>
    <row r="343" spans="1:17" ht="13.2" x14ac:dyDescent="0.25">
      <c r="A343" s="86" t="s">
        <v>336</v>
      </c>
      <c r="B343" s="89">
        <v>1396</v>
      </c>
      <c r="C343" s="59">
        <f>147597.3/1000</f>
        <v>147.59729999999999</v>
      </c>
      <c r="D343" s="71">
        <f ca="1">IFERROR(__xludf.DUMMYFUNCTION("$C337*IMPORTRANGE(""https://docs.google.com/spreadsheets/d/1xsp01RMmkav9iTy39Zaj_7tE9677EGlOJ14KU9TZn7I/"",""2004-2017!H1846"")"),113.506751618999)</f>
        <v>113.506751618999</v>
      </c>
      <c r="E343" s="71">
        <f ca="1">IFERROR(__xludf.DUMMYFUNCTION("$C337*IMPORTRANGE(""https://docs.google.com/spreadsheets/d/1xsp01RMmkav9iTy39Zaj_7tE9677EGlOJ14KU9TZn7I/"",""2004-2017!T1846"")"),94.9722206715)</f>
        <v>94.972220671499997</v>
      </c>
      <c r="F343" s="71">
        <f ca="1">IFERROR(__xludf.DUMMYFUNCTION("$C337*IMPORTRANGE(""https://docs.google.com/spreadsheets/d/1xsp01RMmkav9iTy39Zaj_7tE9677EGlOJ14KU9TZn7I/"",""2004-2017!AC1846"")"),12441.1240880986)</f>
        <v>12441.124088098601</v>
      </c>
      <c r="G343" s="57" t="s">
        <v>8</v>
      </c>
      <c r="K343" s="2"/>
      <c r="L343" s="3"/>
      <c r="M343" s="52"/>
      <c r="N343" s="52"/>
      <c r="O343" s="52"/>
      <c r="P343" s="52"/>
      <c r="Q343" s="2"/>
    </row>
    <row r="344" spans="1:17" ht="13.2" x14ac:dyDescent="0.25">
      <c r="A344" s="87" t="s">
        <v>337</v>
      </c>
      <c r="B344" s="90">
        <v>1341</v>
      </c>
      <c r="C344" s="74">
        <f>153257.9/1000</f>
        <v>153.25790000000001</v>
      </c>
      <c r="D344" s="75">
        <f ca="1">IFERROR(__xludf.DUMMYFUNCTION("$C338*IMPORTRANGE(""https://docs.google.com/spreadsheets/d/1xsp01RMmkav9iTy39Zaj_7tE9677EGlOJ14KU9TZn7I/"",""2004-2017!H1868"")"),110.123464045)</f>
        <v>110.12346404500001</v>
      </c>
      <c r="E344" s="75">
        <f ca="1">IFERROR(__xludf.DUMMYFUNCTION("$C338*IMPORTRANGE(""https://docs.google.com/spreadsheets/d/1xsp01RMmkav9iTy39Zaj_7tE9677EGlOJ14KU9TZn7I/"",""2004-2017!T1868"")"),96.722593269)</f>
        <v>96.722593269000001</v>
      </c>
      <c r="F344" s="75">
        <f ca="1">IFERROR(__xludf.DUMMYFUNCTION("$C338*IMPORTRANGE(""https://docs.google.com/spreadsheets/d/1xsp01RMmkav9iTy39Zaj_7tE9677EGlOJ14KU9TZn7I/"",""2004-2017!AC1868"")"),12517.9521673579)</f>
        <v>12517.9521673579</v>
      </c>
      <c r="G344" s="72" t="s">
        <v>8</v>
      </c>
      <c r="K344" s="2"/>
      <c r="L344" s="3"/>
      <c r="M344" s="52"/>
      <c r="N344" s="52"/>
      <c r="O344" s="52"/>
      <c r="P344" s="52"/>
      <c r="Q344" s="2"/>
    </row>
    <row r="345" spans="1:17" ht="13.2" x14ac:dyDescent="0.25">
      <c r="A345" s="86" t="s">
        <v>338</v>
      </c>
      <c r="B345" s="89">
        <v>1379</v>
      </c>
      <c r="C345" s="59">
        <f>155767.7/1000</f>
        <v>155.76770000000002</v>
      </c>
      <c r="D345" s="71">
        <f ca="1">IFERROR(__xludf.DUMMYFUNCTION("$C339*IMPORTRANGE(""https://docs.google.com/spreadsheets/d/1xsp01RMmkav9iTy39Zaj_7tE9677EGlOJ14KU9TZn7I/"",""2004-2017!H1891"")"),113.905130625)</f>
        <v>113.905130625</v>
      </c>
      <c r="E345" s="71">
        <f ca="1">IFERROR(__xludf.DUMMYFUNCTION("$C339*IMPORTRANGE(""https://docs.google.com/spreadsheets/d/1xsp01RMmkav9iTy39Zaj_7tE9677EGlOJ14KU9TZn7I/"",""2004-2017!T1891"")"),97.125833981)</f>
        <v>97.125833981</v>
      </c>
      <c r="F345" s="71">
        <f ca="1">IFERROR(__xludf.DUMMYFUNCTION("$C339*IMPORTRANGE(""https://docs.google.com/spreadsheets/d/1xsp01RMmkav9iTy39Zaj_7tE9677EGlOJ14KU9TZn7I/"",""2004-2017!AC1891"")"),12895.2289666161)</f>
        <v>12895.2289666161</v>
      </c>
      <c r="G345" s="57" t="s">
        <v>8</v>
      </c>
      <c r="K345" s="2"/>
      <c r="L345" s="3"/>
      <c r="M345" s="52"/>
      <c r="N345" s="52"/>
      <c r="O345" s="52"/>
      <c r="P345" s="52"/>
      <c r="Q345" s="2"/>
    </row>
    <row r="346" spans="1:17" ht="13.2" x14ac:dyDescent="0.25">
      <c r="A346" s="88" t="s">
        <v>339</v>
      </c>
      <c r="B346" s="91">
        <v>1922</v>
      </c>
      <c r="C346" s="78">
        <f>195717.2/1000</f>
        <v>195.71720000000002</v>
      </c>
      <c r="D346" s="79">
        <f ca="1">IFERROR(__xludf.DUMMYFUNCTION("$C340*IMPORTRANGE(""https://docs.google.com/spreadsheets/d/1xsp01RMmkav9iTy39Zaj_7tE9677EGlOJ14KU9TZn7I/"",""2004-2017!H1915"")"),148.091376552)</f>
        <v>148.09137655200001</v>
      </c>
      <c r="E346" s="79">
        <f ca="1">IFERROR(__xludf.DUMMYFUNCTION("$C340*IMPORTRANGE(""https://docs.google.com/spreadsheets/d/1xsp01RMmkav9iTy39Zaj_7tE9677EGlOJ14KU9TZn7I/"",""2004-2017!T1915"")"),125.716986248)</f>
        <v>125.716986248</v>
      </c>
      <c r="F346" s="79">
        <f ca="1">IFERROR(__xludf.DUMMYFUNCTION("$C340*IMPORTRANGE(""https://docs.google.com/spreadsheets/d/1xsp01RMmkav9iTy39Zaj_7tE9677EGlOJ14KU9TZn7I/"",""2004-2017!AC1915"")"),16377.2240573172)</f>
        <v>16377.2240573172</v>
      </c>
      <c r="G346" s="76" t="s">
        <v>8</v>
      </c>
      <c r="K346" s="2"/>
      <c r="L346" s="3"/>
      <c r="M346" s="52"/>
      <c r="N346" s="52"/>
      <c r="O346" s="52"/>
      <c r="P346" s="52"/>
      <c r="Q346" s="2"/>
    </row>
    <row r="347" spans="1:17" ht="13.2" x14ac:dyDescent="0.25">
      <c r="A347" s="68">
        <v>2011</v>
      </c>
      <c r="B347" s="69"/>
      <c r="C347" s="92"/>
      <c r="D347" s="92"/>
      <c r="E347" s="92"/>
      <c r="F347" s="92"/>
      <c r="G347" s="68"/>
      <c r="K347" s="2"/>
      <c r="L347" s="3"/>
      <c r="M347" s="52"/>
      <c r="N347" s="52"/>
      <c r="O347" s="52"/>
      <c r="P347" s="52"/>
      <c r="Q347" s="2"/>
    </row>
    <row r="348" spans="1:17" ht="13.2" x14ac:dyDescent="0.25">
      <c r="A348" s="86" t="s">
        <v>340</v>
      </c>
      <c r="B348" s="89">
        <v>1466</v>
      </c>
      <c r="C348" s="59">
        <f>125273/1000</f>
        <v>125.273</v>
      </c>
      <c r="D348" s="71">
        <f ca="1">IFERROR(__xludf.DUMMYFUNCTION("$C342*IMPORTRANGE(""https://docs.google.com/spreadsheets/d/1xsp01RMmkav9iTy39Zaj_7tE9677EGlOJ14KU9TZn7I/"",""2004-2017!H1938"")"),93.78187326)</f>
        <v>93.781873259999998</v>
      </c>
      <c r="E348" s="71">
        <f ca="1">IFERROR(__xludf.DUMMYFUNCTION("$C342*IMPORTRANGE(""https://docs.google.com/spreadsheets/d/1xsp01RMmkav9iTy39Zaj_7tE9677EGlOJ14KU9TZn7I/"",""2004-2017!T1938"")"),79.1399650199999)</f>
        <v>79.139965019999906</v>
      </c>
      <c r="F348" s="71">
        <f ca="1">IFERROR(__xludf.DUMMYFUNCTION("$C342*IMPORTRANGE(""https://docs.google.com/spreadsheets/d/1xsp01RMmkav9iTy39Zaj_7tE9677EGlOJ14KU9TZn7I/"",""2004-2017!AC1938"")"),10356.318659454)</f>
        <v>10356.318659454</v>
      </c>
      <c r="G348" s="57" t="s">
        <v>8</v>
      </c>
      <c r="K348" s="2"/>
      <c r="L348" s="3"/>
      <c r="M348" s="52"/>
      <c r="N348" s="52"/>
      <c r="O348" s="52"/>
      <c r="P348" s="52"/>
      <c r="Q348" s="2"/>
    </row>
    <row r="349" spans="1:17" ht="13.2" x14ac:dyDescent="0.25">
      <c r="A349" s="87" t="s">
        <v>341</v>
      </c>
      <c r="B349" s="90">
        <v>1252</v>
      </c>
      <c r="C349" s="74">
        <f>189796.1/1000</f>
        <v>189.7961</v>
      </c>
      <c r="D349" s="75">
        <f ca="1">IFERROR(__xludf.DUMMYFUNCTION("$C343*IMPORTRANGE(""https://docs.google.com/spreadsheets/d/1xsp01RMmkav9iTy39Zaj_7tE9677EGlOJ14KU9TZn7I/"",""2004-2017!H1959"")"),139.0417759185)</f>
        <v>139.04177591850001</v>
      </c>
      <c r="E349" s="75">
        <f ca="1">IFERROR(__xludf.DUMMYFUNCTION("$C343*IMPORTRANGE(""https://docs.google.com/spreadsheets/d/1xsp01RMmkav9iTy39Zaj_7tE9677EGlOJ14KU9TZn7I/"",""2004-2017!T1959"")"),117.6536534095)</f>
        <v>117.6536534095</v>
      </c>
      <c r="F349" s="75">
        <f ca="1">IFERROR(__xludf.DUMMYFUNCTION("$C343*IMPORTRANGE(""https://docs.google.com/spreadsheets/d/1xsp01RMmkav9iTy39Zaj_7tE9677EGlOJ14KU9TZn7I/"",""2004-2017!AC1959"")"),15644.6081135441)</f>
        <v>15644.6081135441</v>
      </c>
      <c r="G349" s="72" t="s">
        <v>8</v>
      </c>
      <c r="K349" s="2"/>
      <c r="L349" s="3"/>
      <c r="M349" s="52"/>
      <c r="N349" s="52"/>
      <c r="O349" s="52"/>
      <c r="P349" s="52"/>
      <c r="Q349" s="2"/>
    </row>
    <row r="350" spans="1:17" ht="13.2" x14ac:dyDescent="0.25">
      <c r="A350" s="86" t="s">
        <v>342</v>
      </c>
      <c r="B350" s="89">
        <v>1459</v>
      </c>
      <c r="C350" s="59">
        <f>194076.6/1000</f>
        <v>194.07660000000001</v>
      </c>
      <c r="D350" s="71">
        <f ca="1">IFERROR(__xludf.DUMMYFUNCTION("$C344*IMPORTRANGE(""https://docs.google.com/spreadsheets/d/1xsp01RMmkav9iTy39Zaj_7tE9677EGlOJ14KU9TZn7I/"",""2004-2017!H1983"")"),138.718190616)</f>
        <v>138.71819061599999</v>
      </c>
      <c r="E350" s="71">
        <f ca="1">IFERROR(__xludf.DUMMYFUNCTION("$C344*IMPORTRANGE(""https://docs.google.com/spreadsheets/d/1xsp01RMmkav9iTy39Zaj_7tE9677EGlOJ14KU9TZn7I/"",""2004-2017!T1983"")"),120.00726561)</f>
        <v>120.00726561</v>
      </c>
      <c r="F350" s="71">
        <f ca="1">IFERROR(__xludf.DUMMYFUNCTION("$C344*IMPORTRANGE(""https://docs.google.com/spreadsheets/d/1xsp01RMmkav9iTy39Zaj_7tE9677EGlOJ14KU9TZn7I/"",""2004-2017!AC1983"")"),15879.347412)</f>
        <v>15879.347411999999</v>
      </c>
      <c r="G350" s="57" t="s">
        <v>8</v>
      </c>
      <c r="K350" s="2"/>
      <c r="L350" s="3"/>
      <c r="M350" s="52"/>
      <c r="N350" s="52"/>
      <c r="O350" s="52"/>
      <c r="P350" s="52"/>
      <c r="Q350" s="2"/>
    </row>
    <row r="351" spans="1:17" ht="13.2" x14ac:dyDescent="0.25">
      <c r="A351" s="87" t="s">
        <v>343</v>
      </c>
      <c r="B351" s="90">
        <v>1381</v>
      </c>
      <c r="C351" s="74">
        <f>165066.4/1000</f>
        <v>165.06639999999999</v>
      </c>
      <c r="D351" s="75">
        <f ca="1">IFERROR(__xludf.DUMMYFUNCTION("$C345*IMPORTRANGE(""https://docs.google.com/spreadsheets/d/1xsp01RMmkav9iTy39Zaj_7tE9677EGlOJ14KU9TZn7I/"",""2004-2017!H2005"")"),114.328289967999)</f>
        <v>114.328289967999</v>
      </c>
      <c r="E351" s="75">
        <f ca="1">IFERROR(__xludf.DUMMYFUNCTION("$C345*IMPORTRANGE(""https://docs.google.com/spreadsheets/d/1xsp01RMmkav9iTy39Zaj_7tE9677EGlOJ14KU9TZn7I/"",""2004-2017!T2005"")"),101.114724648)</f>
        <v>101.11472464800001</v>
      </c>
      <c r="F351" s="75">
        <f ca="1">IFERROR(__xludf.DUMMYFUNCTION("$C345*IMPORTRANGE(""https://docs.google.com/spreadsheets/d/1xsp01RMmkav9iTy39Zaj_7tE9677EGlOJ14KU9TZn7I/"",""2004-2017!AC2005"")"),13742.3558625327)</f>
        <v>13742.3558625327</v>
      </c>
      <c r="G351" s="72" t="s">
        <v>8</v>
      </c>
      <c r="K351" s="2"/>
      <c r="L351" s="3"/>
      <c r="M351" s="52"/>
      <c r="N351" s="52"/>
      <c r="O351" s="52"/>
      <c r="P351" s="52"/>
      <c r="Q351" s="2"/>
    </row>
    <row r="352" spans="1:17" ht="13.2" x14ac:dyDescent="0.25">
      <c r="A352" s="86" t="s">
        <v>344</v>
      </c>
      <c r="B352" s="89">
        <v>1448</v>
      </c>
      <c r="C352" s="59">
        <f>222391.6/1000</f>
        <v>222.39160000000001</v>
      </c>
      <c r="D352" s="71">
        <f ca="1">IFERROR(__xludf.DUMMYFUNCTION("$C346*IMPORTRANGE(""https://docs.google.com/spreadsheets/d/1xsp01RMmkav9iTy39Zaj_7tE9677EGlOJ14KU9TZn7I/"",""2004-2017!H2028"")"),155.70191895)</f>
        <v>155.70191894999999</v>
      </c>
      <c r="E352" s="71">
        <f ca="1">IFERROR(__xludf.DUMMYFUNCTION("$C346*IMPORTRANGE(""https://docs.google.com/spreadsheets/d/1xsp01RMmkav9iTy39Zaj_7tE9677EGlOJ14KU9TZn7I/"",""2004-2017!T2028"")"),135.913514382)</f>
        <v>135.91351438199999</v>
      </c>
      <c r="F352" s="71">
        <f ca="1">IFERROR(__xludf.DUMMYFUNCTION("$C346*IMPORTRANGE(""https://docs.google.com/spreadsheets/d/1xsp01RMmkav9iTy39Zaj_7tE9677EGlOJ14KU9TZn7I/"",""2004-2017!AC2028"")"),18019.3909193874)</f>
        <v>18019.390919387399</v>
      </c>
      <c r="G352" s="57" t="s">
        <v>8</v>
      </c>
      <c r="K352" s="2"/>
      <c r="L352" s="3"/>
      <c r="M352" s="52"/>
      <c r="N352" s="52"/>
      <c r="O352" s="52"/>
      <c r="P352" s="52"/>
      <c r="Q352" s="2"/>
    </row>
    <row r="353" spans="1:17" ht="13.2" x14ac:dyDescent="0.25">
      <c r="A353" s="87" t="s">
        <v>345</v>
      </c>
      <c r="B353" s="90">
        <v>1507</v>
      </c>
      <c r="C353" s="74">
        <f>169423.5/1000</f>
        <v>169.42349999999999</v>
      </c>
      <c r="D353" s="75">
        <f ca="1">IFERROR(__xludf.DUMMYFUNCTION("$C347*IMPORTRANGE(""https://docs.google.com/spreadsheets/d/1xsp01RMmkav9iTy39Zaj_7tE9677EGlOJ14KU9TZn7I/"",""2004-2017!H2051"")"),117.9026607675)</f>
        <v>117.9026607675</v>
      </c>
      <c r="E353" s="75">
        <f ca="1">IFERROR(__xludf.DUMMYFUNCTION("$C347*IMPORTRANGE(""https://docs.google.com/spreadsheets/d/1xsp01RMmkav9iTy39Zaj_7tE9677EGlOJ14KU9TZn7I/"",""2004-2017!T2051"")"),104.416550167499)</f>
        <v>104.416550167499</v>
      </c>
      <c r="F353" s="75">
        <f ca="1">IFERROR(__xludf.DUMMYFUNCTION("$C347*IMPORTRANGE(""https://docs.google.com/spreadsheets/d/1xsp01RMmkav9iTy39Zaj_7tE9677EGlOJ14KU9TZn7I/"",""2004-2017!AC2051"")"),13623.5981938087)</f>
        <v>13623.598193808701</v>
      </c>
      <c r="G353" s="72" t="s">
        <v>8</v>
      </c>
      <c r="K353" s="2"/>
      <c r="L353" s="3"/>
      <c r="M353" s="52"/>
      <c r="N353" s="52"/>
      <c r="O353" s="52"/>
      <c r="P353" s="52"/>
      <c r="Q353" s="2"/>
    </row>
    <row r="354" spans="1:17" ht="13.2" x14ac:dyDescent="0.25">
      <c r="A354" s="86" t="s">
        <v>346</v>
      </c>
      <c r="B354" s="89">
        <v>1475</v>
      </c>
      <c r="C354" s="59">
        <f>222169.2/1000</f>
        <v>222.16920000000002</v>
      </c>
      <c r="D354" s="71">
        <f ca="1">IFERROR(__xludf.DUMMYFUNCTION("$C348*IMPORTRANGE(""https://docs.google.com/spreadsheets/d/1xsp01RMmkav9iTy39Zaj_7tE9677EGlOJ14KU9TZn7I/"",""2004-2017!H2073"")"),155.016337608)</f>
        <v>155.01633760799999</v>
      </c>
      <c r="E354" s="71">
        <f ca="1">IFERROR(__xludf.DUMMYFUNCTION("$C348*IMPORTRANGE(""https://docs.google.com/spreadsheets/d/1xsp01RMmkav9iTy39Zaj_7tE9677EGlOJ14KU9TZn7I/"",""2004-2017!T2073"")"),137.891535672)</f>
        <v>137.891535672</v>
      </c>
      <c r="F354" s="71">
        <f ca="1">IFERROR(__xludf.DUMMYFUNCTION("$C348*IMPORTRANGE(""https://docs.google.com/spreadsheets/d/1xsp01RMmkav9iTy39Zaj_7tE9677EGlOJ14KU9TZn7I/"",""2004-2017!AC2073"")"),17579.3598970308)</f>
        <v>17579.359897030801</v>
      </c>
      <c r="G354" s="57" t="s">
        <v>8</v>
      </c>
      <c r="K354" s="2"/>
      <c r="L354" s="3"/>
      <c r="M354" s="52"/>
      <c r="N354" s="52"/>
      <c r="O354" s="52"/>
      <c r="P354" s="52"/>
      <c r="Q354" s="2"/>
    </row>
    <row r="355" spans="1:17" ht="13.2" x14ac:dyDescent="0.25">
      <c r="A355" s="87" t="s">
        <v>347</v>
      </c>
      <c r="B355" s="90">
        <v>1397</v>
      </c>
      <c r="C355" s="74">
        <f>174817.7/1000</f>
        <v>174.8177</v>
      </c>
      <c r="D355" s="75">
        <f ca="1">IFERROR(__xludf.DUMMYFUNCTION("$C349*IMPORTRANGE(""https://docs.google.com/spreadsheets/d/1xsp01RMmkav9iTy39Zaj_7tE9677EGlOJ14KU9TZn7I/"",""2004-2017!H2097"")"),121.70808274)</f>
        <v>121.70808273999999</v>
      </c>
      <c r="E355" s="75">
        <f ca="1">IFERROR(__xludf.DUMMYFUNCTION("$C349*IMPORTRANGE(""https://docs.google.com/spreadsheets/d/1xsp01RMmkav9iTy39Zaj_7tE9677EGlOJ14KU9TZn7I/"",""2004-2017!T2097"")"),106.790888399)</f>
        <v>106.790888399</v>
      </c>
      <c r="F355" s="75">
        <f ca="1">IFERROR(__xludf.DUMMYFUNCTION("$C349*IMPORTRANGE(""https://docs.google.com/spreadsheets/d/1xsp01RMmkav9iTy39Zaj_7tE9677EGlOJ14KU9TZn7I/"",""2004-2017!AC2097"")"),13436.4885968177)</f>
        <v>13436.4885968177</v>
      </c>
      <c r="G355" s="72" t="s">
        <v>8</v>
      </c>
      <c r="K355" s="2"/>
      <c r="L355" s="3"/>
      <c r="M355" s="52"/>
      <c r="N355" s="52"/>
      <c r="O355" s="52"/>
      <c r="P355" s="52"/>
      <c r="Q355" s="2"/>
    </row>
    <row r="356" spans="1:17" ht="13.2" x14ac:dyDescent="0.25">
      <c r="A356" s="86" t="s">
        <v>348</v>
      </c>
      <c r="B356" s="89">
        <v>1426</v>
      </c>
      <c r="C356" s="59">
        <f>116474.5/1000</f>
        <v>116.47450000000001</v>
      </c>
      <c r="D356" s="71">
        <f ca="1">IFERROR(__xludf.DUMMYFUNCTION("$C350*IMPORTRANGE(""https://docs.google.com/spreadsheets/d/1xsp01RMmkav9iTy39Zaj_7tE9677EGlOJ14KU9TZn7I/"",""2004-2017!H2120"")"),85.07996327)</f>
        <v>85.079963269999993</v>
      </c>
      <c r="E356" s="71">
        <f ca="1">IFERROR(__xludf.DUMMYFUNCTION("$C350*IMPORTRANGE(""https://docs.google.com/spreadsheets/d/1xsp01RMmkav9iTy39Zaj_7tE9677EGlOJ14KU9TZn7I/"",""2004-2017!T2120"")"),73.8209557275)</f>
        <v>73.820955727500007</v>
      </c>
      <c r="F356" s="71">
        <f ca="1">IFERROR(__xludf.DUMMYFUNCTION("$C350*IMPORTRANGE(""https://docs.google.com/spreadsheets/d/1xsp01RMmkav9iTy39Zaj_7tE9677EGlOJ14KU9TZn7I/"",""2004-2017!AC2120"")"),8943.6690777755)</f>
        <v>8943.6690777754993</v>
      </c>
      <c r="G356" s="57" t="s">
        <v>8</v>
      </c>
      <c r="K356" s="2"/>
      <c r="L356" s="3"/>
      <c r="M356" s="52"/>
      <c r="N356" s="52"/>
      <c r="O356" s="52"/>
      <c r="P356" s="52"/>
      <c r="Q356" s="2"/>
    </row>
    <row r="357" spans="1:17" ht="13.2" x14ac:dyDescent="0.25">
      <c r="A357" s="87" t="s">
        <v>349</v>
      </c>
      <c r="B357" s="90">
        <v>1352</v>
      </c>
      <c r="C357" s="74">
        <f>150885.1/1000</f>
        <v>150.88509999999999</v>
      </c>
      <c r="D357" s="75">
        <f ca="1">IFERROR(__xludf.DUMMYFUNCTION("$C351*IMPORTRANGE(""https://docs.google.com/spreadsheets/d/1xsp01RMmkav9iTy39Zaj_7tE9677EGlOJ14KU9TZn7I/"",""2004-2017!H2142"")"),109.782489908999)</f>
        <v>109.782489908999</v>
      </c>
      <c r="E357" s="75">
        <f ca="1">IFERROR(__xludf.DUMMYFUNCTION("$C351*IMPORTRANGE(""https://docs.google.com/spreadsheets/d/1xsp01RMmkav9iTy39Zaj_7tE9677EGlOJ14KU9TZn7I/"",""2004-2017!T2142"")"),95.8301447119999)</f>
        <v>95.830144711999907</v>
      </c>
      <c r="F357" s="75">
        <f ca="1">IFERROR(__xludf.DUMMYFUNCTION("$C351*IMPORTRANGE(""https://docs.google.com/spreadsheets/d/1xsp01RMmkav9iTy39Zaj_7tE9677EGlOJ14KU9TZn7I/"",""2004-2017!AC2142"")"),11581.9405777702)</f>
        <v>11581.9405777702</v>
      </c>
      <c r="G357" s="72" t="s">
        <v>8</v>
      </c>
      <c r="K357" s="2"/>
      <c r="L357" s="3"/>
      <c r="M357" s="52"/>
      <c r="N357" s="52"/>
      <c r="O357" s="52"/>
      <c r="P357" s="52"/>
      <c r="Q357" s="2"/>
    </row>
    <row r="358" spans="1:17" ht="13.2" x14ac:dyDescent="0.25">
      <c r="A358" s="86" t="s">
        <v>350</v>
      </c>
      <c r="B358" s="89">
        <v>1516</v>
      </c>
      <c r="C358" s="59">
        <f>131097.3/1000</f>
        <v>131.09729999999999</v>
      </c>
      <c r="D358" s="71">
        <f ca="1">IFERROR(__xludf.DUMMYFUNCTION("$C352*IMPORTRANGE(""https://docs.google.com/spreadsheets/d/1xsp01RMmkav9iTy39Zaj_7tE9677EGlOJ14KU9TZn7I/"",""2004-2017!H2165"")"),96.9058131869999)</f>
        <v>96.905813186999893</v>
      </c>
      <c r="E358" s="71">
        <f ca="1">IFERROR(__xludf.DUMMYFUNCTION("$C352*IMPORTRANGE(""https://docs.google.com/spreadsheets/d/1xsp01RMmkav9iTy39Zaj_7tE9677EGlOJ14KU9TZn7I/"",""2004-2017!T2165"")"),82.6968323265)</f>
        <v>82.696832326500001</v>
      </c>
      <c r="F358" s="71">
        <f ca="1">IFERROR(__xludf.DUMMYFUNCTION("$C352*IMPORTRANGE(""https://docs.google.com/spreadsheets/d/1xsp01RMmkav9iTy39Zaj_7tE9677EGlOJ14KU9TZn7I/"",""2004-2017!AC2165"")"),10180.95076935)</f>
        <v>10180.95076935</v>
      </c>
      <c r="G358" s="57" t="s">
        <v>8</v>
      </c>
      <c r="K358" s="2"/>
      <c r="L358" s="3"/>
      <c r="M358" s="52"/>
      <c r="N358" s="52"/>
      <c r="O358" s="52"/>
      <c r="P358" s="52"/>
      <c r="Q358" s="2"/>
    </row>
    <row r="359" spans="1:17" ht="13.2" x14ac:dyDescent="0.25">
      <c r="A359" s="88" t="s">
        <v>351</v>
      </c>
      <c r="B359" s="91">
        <v>1856</v>
      </c>
      <c r="C359" s="78">
        <f>156442.2/1000</f>
        <v>156.44220000000001</v>
      </c>
      <c r="D359" s="79">
        <f ca="1">IFERROR(__xludf.DUMMYFUNCTION("$C353*IMPORTRANGE(""https://docs.google.com/spreadsheets/d/1xsp01RMmkav9iTy39Zaj_7tE9677EGlOJ14KU9TZn7I/"",""2004-2017!H2188"")"),119.750246412)</f>
        <v>119.750246412</v>
      </c>
      <c r="E359" s="79">
        <f ca="1">IFERROR(__xludf.DUMMYFUNCTION("$C353*IMPORTRANGE(""https://docs.google.com/spreadsheets/d/1xsp01RMmkav9iTy39Zaj_7tE9677EGlOJ14KU9TZn7I/"",""2004-2017!T2188"")"),100.191060357)</f>
        <v>100.191060357</v>
      </c>
      <c r="F359" s="79">
        <f ca="1">IFERROR(__xludf.DUMMYFUNCTION("$C353*IMPORTRANGE(""https://docs.google.com/spreadsheets/d/1xsp01RMmkav9iTy39Zaj_7tE9677EGlOJ14KU9TZn7I/"",""2004-2017!AC2188"")"),12179.8074027788)</f>
        <v>12179.807402778801</v>
      </c>
      <c r="G359" s="76" t="s">
        <v>8</v>
      </c>
      <c r="K359" s="2"/>
      <c r="L359" s="3"/>
      <c r="M359" s="52"/>
      <c r="N359" s="52"/>
      <c r="O359" s="52"/>
      <c r="P359" s="52"/>
      <c r="Q359" s="2"/>
    </row>
    <row r="360" spans="1:17" ht="13.2" x14ac:dyDescent="0.25">
      <c r="A360" s="68">
        <v>2012</v>
      </c>
      <c r="B360" s="69"/>
      <c r="C360" s="92"/>
      <c r="D360" s="92"/>
      <c r="E360" s="92"/>
      <c r="F360" s="92"/>
      <c r="G360" s="68"/>
      <c r="K360" s="2"/>
      <c r="L360" s="3"/>
      <c r="M360" s="52"/>
      <c r="N360" s="52"/>
      <c r="O360" s="52"/>
      <c r="P360" s="52"/>
      <c r="Q360" s="2"/>
    </row>
    <row r="361" spans="1:17" ht="13.2" x14ac:dyDescent="0.25">
      <c r="A361" s="86" t="s">
        <v>352</v>
      </c>
      <c r="B361" s="89">
        <v>1433</v>
      </c>
      <c r="C361" s="59">
        <f>88087.1/1000</f>
        <v>88.087100000000007</v>
      </c>
      <c r="D361" s="71">
        <f ca="1">IFERROR(__xludf.DUMMYFUNCTION("$C355*IMPORTRANGE(""https://docs.google.com/spreadsheets/d/1xsp01RMmkav9iTy39Zaj_7tE9677EGlOJ14KU9TZn7I/"",""2004-2017!H2212"")"),68.241957241)</f>
        <v>68.241957240999994</v>
      </c>
      <c r="E361" s="71">
        <f ca="1">IFERROR(__xludf.DUMMYFUNCTION("$C355*IMPORTRANGE(""https://docs.google.com/spreadsheets/d/1xsp01RMmkav9iTy39Zaj_7tE9677EGlOJ14KU9TZn7I/"",""2004-2017!T2212"")"),56.8051686125)</f>
        <v>56.805168612499997</v>
      </c>
      <c r="F361" s="71">
        <f ca="1">IFERROR(__xludf.DUMMYFUNCTION("$C355*IMPORTRANGE(""https://docs.google.com/spreadsheets/d/1xsp01RMmkav9iTy39Zaj_7tE9677EGlOJ14KU9TZn7I/"",""2004-2017!AC2212"")"),6772.57690371775)</f>
        <v>6772.5769037177497</v>
      </c>
      <c r="G361" s="57" t="s">
        <v>8</v>
      </c>
      <c r="K361" s="2"/>
      <c r="L361" s="3"/>
      <c r="M361" s="52"/>
      <c r="N361" s="52"/>
      <c r="O361" s="52"/>
      <c r="P361" s="52"/>
      <c r="Q361" s="2"/>
    </row>
    <row r="362" spans="1:17" ht="13.2" x14ac:dyDescent="0.25">
      <c r="A362" s="87" t="s">
        <v>353</v>
      </c>
      <c r="B362" s="90">
        <v>1352</v>
      </c>
      <c r="C362" s="74">
        <f>200560.2/1000</f>
        <v>200.56020000000001</v>
      </c>
      <c r="D362" s="75">
        <f ca="1">IFERROR(__xludf.DUMMYFUNCTION("$C356*IMPORTRANGE(""https://docs.google.com/spreadsheets/d/1xsp01RMmkav9iTy39Zaj_7tE9677EGlOJ14KU9TZn7I/"",""2004-2017!H2234"")"),151.627522404)</f>
        <v>151.62752240399999</v>
      </c>
      <c r="E362" s="75">
        <f ca="1">IFERROR(__xludf.DUMMYFUNCTION("$C356*IMPORTRANGE(""https://docs.google.com/spreadsheets/d/1xsp01RMmkav9iTy39Zaj_7tE9677EGlOJ14KU9TZn7I/"",""2004-2017!T2234"")"),126.87438252)</f>
        <v>126.87438252</v>
      </c>
      <c r="F362" s="75">
        <f ca="1">IFERROR(__xludf.DUMMYFUNCTION("$C356*IMPORTRANGE(""https://docs.google.com/spreadsheets/d/1xsp01RMmkav9iTy39Zaj_7tE9677EGlOJ14KU9TZn7I/"",""2004-2017!AC2234"")"),15715.8974725602)</f>
        <v>15715.8974725602</v>
      </c>
      <c r="G362" s="72" t="s">
        <v>8</v>
      </c>
      <c r="K362" s="2"/>
      <c r="L362" s="3"/>
      <c r="M362" s="52"/>
      <c r="N362" s="52"/>
      <c r="O362" s="52"/>
      <c r="P362" s="52"/>
      <c r="Q362" s="2"/>
    </row>
    <row r="363" spans="1:17" ht="13.2" x14ac:dyDescent="0.25">
      <c r="A363" s="86" t="s">
        <v>354</v>
      </c>
      <c r="B363" s="89">
        <v>1526</v>
      </c>
      <c r="C363" s="59">
        <f>170966.3/1000</f>
        <v>170.96629999999999</v>
      </c>
      <c r="D363" s="71">
        <f ca="1">IFERROR(__xludf.DUMMYFUNCTION("$C357*IMPORTRANGE(""https://docs.google.com/spreadsheets/d/1xsp01RMmkav9iTy39Zaj_7tE9677EGlOJ14KU9TZn7I/"",""2004-2017!H2257"")"),129.30181269)</f>
        <v>129.30181268999999</v>
      </c>
      <c r="E363" s="71">
        <f ca="1">IFERROR(__xludf.DUMMYFUNCTION("$C357*IMPORTRANGE(""https://docs.google.com/spreadsheets/d/1xsp01RMmkav9iTy39Zaj_7tE9677EGlOJ14KU9TZn7I/"",""2004-2017!T2257"")"),107.865203164499)</f>
        <v>107.86520316449899</v>
      </c>
      <c r="F363" s="71">
        <f ca="1">IFERROR(__xludf.DUMMYFUNCTION("$C357*IMPORTRANGE(""https://docs.google.com/spreadsheets/d/1xsp01RMmkav9iTy39Zaj_7tE9677EGlOJ14KU9TZn7I/"",""2004-2017!AC2257"")"),14113.1824963668)</f>
        <v>14113.1824963668</v>
      </c>
      <c r="G363" s="57" t="s">
        <v>8</v>
      </c>
      <c r="K363" s="2"/>
      <c r="L363" s="3"/>
      <c r="M363" s="52"/>
      <c r="N363" s="52"/>
      <c r="O363" s="52"/>
      <c r="P363" s="52"/>
      <c r="Q363" s="2"/>
    </row>
    <row r="364" spans="1:17" ht="13.2" x14ac:dyDescent="0.25">
      <c r="A364" s="87" t="s">
        <v>355</v>
      </c>
      <c r="B364" s="90">
        <v>1386</v>
      </c>
      <c r="C364" s="74">
        <f>156312/1000</f>
        <v>156.31200000000001</v>
      </c>
      <c r="D364" s="75">
        <f ca="1">IFERROR(__xludf.DUMMYFUNCTION("$C358*IMPORTRANGE(""https://docs.google.com/spreadsheets/d/1xsp01RMmkav9iTy39Zaj_7tE9677EGlOJ14KU9TZn7I/"",""2004-2017!H2279"")"),118.9065384)</f>
        <v>118.9065384</v>
      </c>
      <c r="E364" s="75">
        <f ca="1">IFERROR(__xludf.DUMMYFUNCTION("$C358*IMPORTRANGE(""https://docs.google.com/spreadsheets/d/1xsp01RMmkav9iTy39Zaj_7tE9677EGlOJ14KU9TZn7I/"",""2004-2017!T2279"")"),97.9450992)</f>
        <v>97.945099200000001</v>
      </c>
      <c r="F364" s="75">
        <f ca="1">IFERROR(__xludf.DUMMYFUNCTION("$C358*IMPORTRANGE(""https://docs.google.com/spreadsheets/d/1xsp01RMmkav9iTy39Zaj_7tE9677EGlOJ14KU9TZn7I/"",""2004-2017!AC2279"")"),12708.166068936)</f>
        <v>12708.166068936</v>
      </c>
      <c r="G364" s="72" t="s">
        <v>8</v>
      </c>
      <c r="K364" s="2"/>
      <c r="L364" s="3"/>
      <c r="M364" s="52"/>
      <c r="N364" s="52"/>
      <c r="O364" s="52"/>
      <c r="P364" s="52"/>
      <c r="Q364" s="2"/>
    </row>
    <row r="365" spans="1:17" ht="13.2" x14ac:dyDescent="0.25">
      <c r="A365" s="86" t="s">
        <v>356</v>
      </c>
      <c r="B365" s="89">
        <v>1508</v>
      </c>
      <c r="C365" s="59">
        <f>142992.1/1000</f>
        <v>142.99209999999999</v>
      </c>
      <c r="D365" s="71">
        <f ca="1">IFERROR(__xludf.DUMMYFUNCTION("$C359*IMPORTRANGE(""https://docs.google.com/spreadsheets/d/1xsp01RMmkav9iTy39Zaj_7tE9677EGlOJ14KU9TZn7I/"",""2004-2017!H2303"")"),111.619633259999)</f>
        <v>111.61963325999901</v>
      </c>
      <c r="E365" s="71">
        <f ca="1">IFERROR(__xludf.DUMMYFUNCTION("$C359*IMPORTRANGE(""https://docs.google.com/spreadsheets/d/1xsp01RMmkav9iTy39Zaj_7tE9677EGlOJ14KU9TZn7I/"",""2004-2017!T2303"")"),89.4415585499999)</f>
        <v>89.441558549999897</v>
      </c>
      <c r="F365" s="71">
        <f ca="1">IFERROR(__xludf.DUMMYFUNCTION("$C359*IMPORTRANGE(""https://docs.google.com/spreadsheets/d/1xsp01RMmkav9iTy39Zaj_7tE9677EGlOJ14KU9TZn7I/"",""2004-2017!AC2303"")"),11417.9188990158)</f>
        <v>11417.9188990158</v>
      </c>
      <c r="G365" s="57" t="s">
        <v>8</v>
      </c>
      <c r="K365" s="2"/>
      <c r="L365" s="3"/>
      <c r="M365" s="52"/>
      <c r="N365" s="52"/>
      <c r="O365" s="52"/>
      <c r="P365" s="52"/>
      <c r="Q365" s="2"/>
    </row>
    <row r="366" spans="1:17" ht="13.2" x14ac:dyDescent="0.25">
      <c r="A366" s="87" t="s">
        <v>357</v>
      </c>
      <c r="B366" s="90">
        <v>1450</v>
      </c>
      <c r="C366" s="74">
        <f>160423.2/1000</f>
        <v>160.42320000000001</v>
      </c>
      <c r="D366" s="75">
        <f ca="1">IFERROR(__xludf.DUMMYFUNCTION("$C360*IMPORTRANGE(""https://docs.google.com/spreadsheets/d/1xsp01RMmkav9iTy39Zaj_7tE9677EGlOJ14KU9TZn7I/"",""2004-2017!H2325"")"),127.95354432)</f>
        <v>127.95354432000001</v>
      </c>
      <c r="E366" s="75">
        <f ca="1">IFERROR(__xludf.DUMMYFUNCTION("$C360*IMPORTRANGE(""https://docs.google.com/spreadsheets/d/1xsp01RMmkav9iTy39Zaj_7tE9677EGlOJ14KU9TZn7I/"",""2004-2017!T2325"")"),103.13607528)</f>
        <v>103.13607528</v>
      </c>
      <c r="F366" s="75">
        <f ca="1">IFERROR(__xludf.DUMMYFUNCTION("$C360*IMPORTRANGE(""https://docs.google.com/spreadsheets/d/1xsp01RMmkav9iTy39Zaj_7tE9677EGlOJ14KU9TZn7I/"",""2004-2017!AC2325"")"),12733.1105512464)</f>
        <v>12733.1105512464</v>
      </c>
      <c r="G366" s="72" t="s">
        <v>8</v>
      </c>
      <c r="K366" s="2"/>
      <c r="L366" s="3"/>
      <c r="M366" s="52"/>
      <c r="N366" s="52"/>
      <c r="O366" s="52"/>
      <c r="P366" s="52"/>
      <c r="Q366" s="2"/>
    </row>
    <row r="367" spans="1:17" ht="13.2" x14ac:dyDescent="0.25">
      <c r="A367" s="86" t="s">
        <v>358</v>
      </c>
      <c r="B367" s="89">
        <v>1551</v>
      </c>
      <c r="C367" s="59">
        <f>176243.7/1000</f>
        <v>176.24370000000002</v>
      </c>
      <c r="D367" s="71">
        <f ca="1">IFERROR(__xludf.DUMMYFUNCTION("$C361*IMPORTRANGE(""https://docs.google.com/spreadsheets/d/1xsp01RMmkav9iTy39Zaj_7tE9677EGlOJ14KU9TZn7I/"",""2004-2017!H2348"")"),143.589267264)</f>
        <v>143.589267264</v>
      </c>
      <c r="E367" s="71">
        <f ca="1">IFERROR(__xludf.DUMMYFUNCTION("$C361*IMPORTRANGE(""https://docs.google.com/spreadsheets/d/1xsp01RMmkav9iTy39Zaj_7tE9677EGlOJ14KU9TZn7I/"",""2004-2017!T2348"")"),113.005698003)</f>
        <v>113.00569800300001</v>
      </c>
      <c r="F367" s="71">
        <f ca="1">IFERROR(__xludf.DUMMYFUNCTION("$C361*IMPORTRANGE(""https://docs.google.com/spreadsheets/d/1xsp01RMmkav9iTy39Zaj_7tE9677EGlOJ14KU9TZn7I/"",""2004-2017!AC2348"")"),13946.6926239781)</f>
        <v>13946.692623978101</v>
      </c>
      <c r="G367" s="57" t="s">
        <v>8</v>
      </c>
      <c r="K367" s="2"/>
      <c r="L367" s="3"/>
      <c r="M367" s="52"/>
      <c r="N367" s="52"/>
      <c r="O367" s="52"/>
      <c r="P367" s="52"/>
      <c r="Q367" s="2"/>
    </row>
    <row r="368" spans="1:17" ht="13.2" x14ac:dyDescent="0.25">
      <c r="A368" s="87" t="s">
        <v>359</v>
      </c>
      <c r="B368" s="90">
        <v>1398</v>
      </c>
      <c r="C368" s="74">
        <f>145296.9/1000</f>
        <v>145.29689999999999</v>
      </c>
      <c r="D368" s="75">
        <f ca="1">IFERROR(__xludf.DUMMYFUNCTION("$C362*IMPORTRANGE(""https://docs.google.com/spreadsheets/d/1xsp01RMmkav9iTy39Zaj_7tE9677EGlOJ14KU9TZn7I/"",""2004-2017!H2372"")"),117.427501611)</f>
        <v>117.427501611</v>
      </c>
      <c r="E368" s="75">
        <f ca="1">IFERROR(__xludf.DUMMYFUNCTION("$C362*IMPORTRANGE(""https://docs.google.com/spreadsheets/d/1xsp01RMmkav9iTy39Zaj_7tE9677EGlOJ14KU9TZn7I/"",""2004-2017!T2372"")"),92.65583313)</f>
        <v>92.655833130000005</v>
      </c>
      <c r="F368" s="75">
        <f ca="1">IFERROR(__xludf.DUMMYFUNCTION("$C362*IMPORTRANGE(""https://docs.google.com/spreadsheets/d/1xsp01RMmkav9iTy39Zaj_7tE9677EGlOJ14KU9TZn7I/"",""2004-2017!AC2372"")"),11421.7894542968)</f>
        <v>11421.789454296801</v>
      </c>
      <c r="G368" s="72" t="s">
        <v>8</v>
      </c>
      <c r="K368" s="2"/>
      <c r="L368" s="3"/>
      <c r="M368" s="52"/>
      <c r="N368" s="52"/>
      <c r="O368" s="52"/>
      <c r="P368" s="52"/>
      <c r="Q368" s="2"/>
    </row>
    <row r="369" spans="1:17" ht="13.2" x14ac:dyDescent="0.25">
      <c r="A369" s="86" t="s">
        <v>360</v>
      </c>
      <c r="B369" s="89">
        <v>1369</v>
      </c>
      <c r="C369" s="59">
        <f>100898.2/1000</f>
        <v>100.8982</v>
      </c>
      <c r="D369" s="71">
        <f ca="1">IFERROR(__xludf.DUMMYFUNCTION("$C363*IMPORTRANGE(""https://docs.google.com/spreadsheets/d/1xsp01RMmkav9iTy39Zaj_7tE9677EGlOJ14KU9TZn7I/"",""2004-2017!H2393"")"),78.205690329)</f>
        <v>78.205690329000006</v>
      </c>
      <c r="E369" s="71">
        <f ca="1">IFERROR(__xludf.DUMMYFUNCTION("$C363*IMPORTRANGE(""https://docs.google.com/spreadsheets/d/1xsp01RMmkav9iTy39Zaj_7tE9677EGlOJ14KU9TZn7I/"",""2004-2017!T2393"")"),62.4105816099999)</f>
        <v>62.410581609999902</v>
      </c>
      <c r="F369" s="71">
        <f ca="1">IFERROR(__xludf.DUMMYFUNCTION("$C363*IMPORTRANGE(""https://docs.google.com/spreadsheets/d/1xsp01RMmkav9iTy39Zaj_7tE9677EGlOJ14KU9TZn7I/"",""2004-2017!AC2393"")"),7892.5094495)</f>
        <v>7892.5094495000003</v>
      </c>
      <c r="G369" s="57" t="s">
        <v>8</v>
      </c>
      <c r="K369" s="2"/>
      <c r="L369" s="3"/>
      <c r="M369" s="52"/>
      <c r="N369" s="52"/>
      <c r="O369" s="52"/>
      <c r="P369" s="52"/>
      <c r="Q369" s="2"/>
    </row>
    <row r="370" spans="1:17" ht="13.2" x14ac:dyDescent="0.25">
      <c r="A370" s="87" t="s">
        <v>361</v>
      </c>
      <c r="B370" s="90">
        <v>1597</v>
      </c>
      <c r="C370" s="74">
        <f>261097.1/1000</f>
        <v>261.09710000000001</v>
      </c>
      <c r="D370" s="75">
        <f ca="1">IFERROR(__xludf.DUMMYFUNCTION("$C364*IMPORTRANGE(""https://docs.google.com/spreadsheets/d/1xsp01RMmkav9iTy39Zaj_7tE9677EGlOJ14KU9TZn7I/"",""2004-2017!H2417"")"),201.423357795)</f>
        <v>201.42335779499999</v>
      </c>
      <c r="E370" s="75">
        <f ca="1">IFERROR(__xludf.DUMMYFUNCTION("$C364*IMPORTRANGE(""https://docs.google.com/spreadsheets/d/1xsp01RMmkav9iTy39Zaj_7tE9677EGlOJ14KU9TZn7I/"",""2004-2017!T2417"")"),162.42850591)</f>
        <v>162.42850591000001</v>
      </c>
      <c r="F370" s="75">
        <f ca="1">IFERROR(__xludf.DUMMYFUNCTION("$C364*IMPORTRANGE(""https://docs.google.com/spreadsheets/d/1xsp01RMmkav9iTy39Zaj_7tE9677EGlOJ14KU9TZn7I/"",""2004-2017!AC2417"")"),20571.5796729971)</f>
        <v>20571.579672997101</v>
      </c>
      <c r="G370" s="72" t="s">
        <v>8</v>
      </c>
      <c r="K370" s="2"/>
      <c r="L370" s="3"/>
      <c r="M370" s="52"/>
      <c r="N370" s="52"/>
      <c r="O370" s="52"/>
      <c r="P370" s="52"/>
      <c r="Q370" s="2"/>
    </row>
    <row r="371" spans="1:17" ht="13.2" x14ac:dyDescent="0.25">
      <c r="A371" s="86" t="s">
        <v>362</v>
      </c>
      <c r="B371" s="89">
        <v>1487</v>
      </c>
      <c r="C371" s="59">
        <f>178434.2/1000</f>
        <v>178.4342</v>
      </c>
      <c r="D371" s="71">
        <f ca="1">IFERROR(__xludf.DUMMYFUNCTION("$C365*IMPORTRANGE(""https://docs.google.com/spreadsheets/d/1xsp01RMmkav9iTy39Zaj_7tE9677EGlOJ14KU9TZn7I/"",""2004-2017!H2440"")"),139.279491323)</f>
        <v>139.279491323</v>
      </c>
      <c r="E371" s="71">
        <f ca="1">IFERROR(__xludf.DUMMYFUNCTION("$C365*IMPORTRANGE(""https://docs.google.com/spreadsheets/d/1xsp01RMmkav9iTy39Zaj_7tE9677EGlOJ14KU9TZn7I/"",""2004-2017!T2440"")"),111.662338018)</f>
        <v>111.662338018</v>
      </c>
      <c r="F371" s="71">
        <f ca="1">IFERROR(__xludf.DUMMYFUNCTION("$C365*IMPORTRANGE(""https://docs.google.com/spreadsheets/d/1xsp01RMmkav9iTy39Zaj_7tE9677EGlOJ14KU9TZn7I/"",""2004-2017!AC2440"")"),14419.2679696513)</f>
        <v>14419.267969651301</v>
      </c>
      <c r="G371" s="57" t="s">
        <v>8</v>
      </c>
      <c r="K371" s="2"/>
      <c r="L371" s="3"/>
      <c r="M371" s="52"/>
      <c r="N371" s="52"/>
      <c r="O371" s="52"/>
      <c r="P371" s="52"/>
      <c r="Q371" s="2"/>
    </row>
    <row r="372" spans="1:17" ht="13.2" x14ac:dyDescent="0.25">
      <c r="A372" s="88" t="s">
        <v>363</v>
      </c>
      <c r="B372" s="91">
        <v>1988</v>
      </c>
      <c r="C372" s="78">
        <f>199422.2/1000</f>
        <v>199.4222</v>
      </c>
      <c r="D372" s="79">
        <f ca="1">IFERROR(__xludf.DUMMYFUNCTION("$C366*IMPORTRANGE(""https://docs.google.com/spreadsheets/d/1xsp01RMmkav9iTy39Zaj_7tE9677EGlOJ14KU9TZn7I/"",""2004-2017!H2462"")"),151.475120454)</f>
        <v>151.47512045400001</v>
      </c>
      <c r="E372" s="79">
        <f ca="1">IFERROR(__xludf.DUMMYFUNCTION("$C366*IMPORTRANGE(""https://docs.google.com/spreadsheets/d/1xsp01RMmkav9iTy39Zaj_7tE9677EGlOJ14KU9TZn7I/"",""2004-2017!T2462"")"),123.66170622)</f>
        <v>123.66170622</v>
      </c>
      <c r="F372" s="79">
        <f ca="1">IFERROR(__xludf.DUMMYFUNCTION("$C366*IMPORTRANGE(""https://docs.google.com/spreadsheets/d/1xsp01RMmkav9iTy39Zaj_7tE9677EGlOJ14KU9TZn7I/"",""2004-2017!AC2462"")"),16732.1208466)</f>
        <v>16732.120846599999</v>
      </c>
      <c r="G372" s="76" t="s">
        <v>8</v>
      </c>
      <c r="K372" s="2"/>
      <c r="L372" s="3"/>
      <c r="M372" s="52"/>
      <c r="N372" s="52"/>
      <c r="O372" s="52"/>
      <c r="P372" s="52"/>
      <c r="Q372" s="2"/>
    </row>
    <row r="373" spans="1:17" ht="13.2" x14ac:dyDescent="0.25">
      <c r="A373" s="68">
        <v>2013</v>
      </c>
      <c r="B373" s="69"/>
      <c r="C373" s="92"/>
      <c r="D373" s="92"/>
      <c r="E373" s="92"/>
      <c r="F373" s="92"/>
      <c r="G373" s="68"/>
      <c r="K373" s="2"/>
      <c r="L373" s="3"/>
      <c r="M373" s="52"/>
      <c r="N373" s="52"/>
      <c r="O373" s="52"/>
      <c r="P373" s="52"/>
      <c r="Q373" s="2"/>
    </row>
    <row r="374" spans="1:17" ht="13.2" x14ac:dyDescent="0.25">
      <c r="A374" s="86" t="s">
        <v>364</v>
      </c>
      <c r="B374" s="89">
        <v>1541</v>
      </c>
      <c r="C374" s="59">
        <f>106613.6/1000</f>
        <v>106.61360000000001</v>
      </c>
      <c r="D374" s="71">
        <f ca="1">IFERROR(__xludf.DUMMYFUNCTION("$C368*IMPORTRANGE(""https://docs.google.com/spreadsheets/d/1xsp01RMmkav9iTy39Zaj_7tE9677EGlOJ14KU9TZn7I/"",""2004-2017!H2487"")"),80.10945904)</f>
        <v>80.109459040000004</v>
      </c>
      <c r="E374" s="71">
        <f ca="1">IFERROR(__xludf.DUMMYFUNCTION("$C368*IMPORTRANGE(""https://docs.google.com/spreadsheets/d/1xsp01RMmkav9iTy39Zaj_7tE9677EGlOJ14KU9TZn7I/"",""2004-2017!T2487"")"),66.56953184)</f>
        <v>66.569531839999996</v>
      </c>
      <c r="F374" s="71">
        <f ca="1">IFERROR(__xludf.DUMMYFUNCTION("$C368*IMPORTRANGE(""https://docs.google.com/spreadsheets/d/1xsp01RMmkav9iTy39Zaj_7tE9677EGlOJ14KU9TZn7I/"",""2004-2017!AC2487"")"),9461.957)</f>
        <v>9461.9570000000003</v>
      </c>
      <c r="G374" s="57" t="s">
        <v>8</v>
      </c>
      <c r="K374" s="2"/>
      <c r="L374" s="3"/>
      <c r="M374" s="52"/>
      <c r="N374" s="52"/>
      <c r="O374" s="52"/>
      <c r="P374" s="52"/>
      <c r="Q374" s="2"/>
    </row>
    <row r="375" spans="1:17" ht="13.2" x14ac:dyDescent="0.25">
      <c r="A375" s="87" t="s">
        <v>365</v>
      </c>
      <c r="B375" s="90">
        <v>1320</v>
      </c>
      <c r="C375" s="74">
        <f>192001.5/1000</f>
        <v>192.00149999999999</v>
      </c>
      <c r="D375" s="75">
        <f ca="1">IFERROR(__xludf.DUMMYFUNCTION("$C369*IMPORTRANGE(""https://docs.google.com/spreadsheets/d/1xsp01RMmkav9iTy39Zaj_7tE9677EGlOJ14KU9TZn7I/"",""2004-2017!H2508"")"),143.511521174999)</f>
        <v>143.51152117499899</v>
      </c>
      <c r="E375" s="75">
        <f ca="1">IFERROR(__xludf.DUMMYFUNCTION("$C369*IMPORTRANGE(""https://docs.google.com/spreadsheets/d/1xsp01RMmkav9iTy39Zaj_7tE9677EGlOJ14KU9TZn7I/"",""2004-2017!T2508"")"),123.793927132499)</f>
        <v>123.79392713249899</v>
      </c>
      <c r="F375" s="75">
        <f ca="1">IFERROR(__xludf.DUMMYFUNCTION("$C369*IMPORTRANGE(""https://docs.google.com/spreadsheets/d/1xsp01RMmkav9iTy39Zaj_7tE9677EGlOJ14KU9TZn7I/"",""2004-2017!AC2508"")"),17909.9956327477)</f>
        <v>17909.995632747701</v>
      </c>
      <c r="G375" s="72" t="s">
        <v>8</v>
      </c>
      <c r="K375" s="2"/>
      <c r="L375" s="3"/>
      <c r="M375" s="52"/>
      <c r="N375" s="52"/>
      <c r="O375" s="52"/>
      <c r="P375" s="52"/>
      <c r="Q375" s="2"/>
    </row>
    <row r="376" spans="1:17" ht="13.2" x14ac:dyDescent="0.25">
      <c r="A376" s="86" t="s">
        <v>366</v>
      </c>
      <c r="B376" s="89">
        <v>1411</v>
      </c>
      <c r="C376" s="59">
        <f>108630.1/1000</f>
        <v>108.6301</v>
      </c>
      <c r="D376" s="71">
        <f ca="1">IFERROR(__xludf.DUMMYFUNCTION("$C370*IMPORTRANGE(""https://docs.google.com/spreadsheets/d/1xsp01RMmkav9iTy39Zaj_7tE9677EGlOJ14KU9TZn7I/"",""2004-2017!H2530"")"),83.6994920499999)</f>
        <v>83.699492049999904</v>
      </c>
      <c r="E376" s="71">
        <f ca="1">IFERROR(__xludf.DUMMYFUNCTION("$C370*IMPORTRANGE(""https://docs.google.com/spreadsheets/d/1xsp01RMmkav9iTy39Zaj_7tE9677EGlOJ14KU9TZn7I/"",""2004-2017!T2530"")"),71.94571523)</f>
        <v>71.945715230000005</v>
      </c>
      <c r="F376" s="71">
        <f ca="1">IFERROR(__xludf.DUMMYFUNCTION("$C370*IMPORTRANGE(""https://docs.google.com/spreadsheets/d/1xsp01RMmkav9iTy39Zaj_7tE9677EGlOJ14KU9TZn7I/"",""2004-2017!AC2530"")"),10307.8015588999)</f>
        <v>10307.801558899901</v>
      </c>
      <c r="G376" s="57" t="s">
        <v>8</v>
      </c>
      <c r="K376" s="2"/>
      <c r="L376" s="3"/>
      <c r="M376" s="52"/>
      <c r="N376" s="52"/>
      <c r="O376" s="52"/>
      <c r="P376" s="52"/>
      <c r="Q376" s="2"/>
    </row>
    <row r="377" spans="1:17" ht="13.2" x14ac:dyDescent="0.25">
      <c r="A377" s="87" t="s">
        <v>367</v>
      </c>
      <c r="B377" s="90">
        <v>1353</v>
      </c>
      <c r="C377" s="74">
        <f>185502/1000</f>
        <v>185.50200000000001</v>
      </c>
      <c r="D377" s="75">
        <f ca="1">IFERROR(__xludf.DUMMYFUNCTION("$C371*IMPORTRANGE(""https://docs.google.com/spreadsheets/d/1xsp01RMmkav9iTy39Zaj_7tE9677EGlOJ14KU9TZn7I/"",""2004-2017!H2553"")"),142.26983139)</f>
        <v>142.26983139000001</v>
      </c>
      <c r="E377" s="75">
        <f ca="1">IFERROR(__xludf.DUMMYFUNCTION("$C371*IMPORTRANGE(""https://docs.google.com/spreadsheets/d/1xsp01RMmkav9iTy39Zaj_7tE9677EGlOJ14KU9TZn7I/"",""2004-2017!T2553"")"),121.31923551)</f>
        <v>121.31923551</v>
      </c>
      <c r="F377" s="75">
        <f ca="1">IFERROR(__xludf.DUMMYFUNCTION("$C371*IMPORTRANGE(""https://docs.google.com/spreadsheets/d/1xsp01RMmkav9iTy39Zaj_7tE9677EGlOJ14KU9TZn7I/"",""2004-2017!AC2553"")"),18235.681451751)</f>
        <v>18235.681451750999</v>
      </c>
      <c r="G377" s="72" t="s">
        <v>8</v>
      </c>
      <c r="K377" s="2"/>
      <c r="L377" s="3"/>
      <c r="M377" s="52"/>
      <c r="N377" s="52"/>
      <c r="O377" s="52"/>
      <c r="P377" s="52"/>
      <c r="Q377" s="2"/>
    </row>
    <row r="378" spans="1:17" ht="13.2" x14ac:dyDescent="0.25">
      <c r="A378" s="86" t="s">
        <v>368</v>
      </c>
      <c r="B378" s="89">
        <v>1493</v>
      </c>
      <c r="C378" s="59">
        <f>177242/1000</f>
        <v>177.24199999999999</v>
      </c>
      <c r="D378" s="71">
        <f ca="1">IFERROR(__xludf.DUMMYFUNCTION("$C372*IMPORTRANGE(""https://docs.google.com/spreadsheets/d/1xsp01RMmkav9iTy39Zaj_7tE9677EGlOJ14KU9TZn7I/"",""2004-2017!H2577"")"),136.88931386)</f>
        <v>136.88931385999999</v>
      </c>
      <c r="E378" s="71">
        <f ca="1">IFERROR(__xludf.DUMMYFUNCTION("$C372*IMPORTRANGE(""https://docs.google.com/spreadsheets/d/1xsp01RMmkav9iTy39Zaj_7tE9677EGlOJ14KU9TZn7I/"",""2004-2017!T2577"")"),116.130730819999)</f>
        <v>116.130730819999</v>
      </c>
      <c r="F378" s="71">
        <f ca="1">IFERROR(__xludf.DUMMYFUNCTION("$C372*IMPORTRANGE(""https://docs.google.com/spreadsheets/d/1xsp01RMmkav9iTy39Zaj_7tE9677EGlOJ14KU9TZn7I/"",""2004-2017!AC2577"")"),17920.0529417259)</f>
        <v>17920.052941725899</v>
      </c>
      <c r="G378" s="57" t="s">
        <v>8</v>
      </c>
      <c r="K378" s="2"/>
      <c r="L378" s="3"/>
      <c r="M378" s="52"/>
      <c r="N378" s="52"/>
      <c r="O378" s="52"/>
      <c r="P378" s="52"/>
      <c r="Q378" s="2"/>
    </row>
    <row r="379" spans="1:17" ht="13.2" x14ac:dyDescent="0.25">
      <c r="A379" s="87" t="s">
        <v>369</v>
      </c>
      <c r="B379" s="90">
        <v>1517</v>
      </c>
      <c r="C379" s="74">
        <f>164743.7/1000</f>
        <v>164.74370000000002</v>
      </c>
      <c r="D379" s="75">
        <f ca="1">IFERROR(__xludf.DUMMYFUNCTION("$C373*IMPORTRANGE(""https://docs.google.com/spreadsheets/d/1xsp01RMmkav9iTy39Zaj_7tE9677EGlOJ14KU9TZn7I/"",""2004-2017!H2598"")"),124.57918594)</f>
        <v>124.57918594</v>
      </c>
      <c r="E379" s="75">
        <f ca="1">IFERROR(__xludf.DUMMYFUNCTION("$C373*IMPORTRANGE(""https://docs.google.com/spreadsheets/d/1xsp01RMmkav9iTy39Zaj_7tE9677EGlOJ14KU9TZn7I/"",""2004-2017!T2598"")"),106.287692929)</f>
        <v>106.287692929</v>
      </c>
      <c r="F379" s="75">
        <f ca="1">IFERROR(__xludf.DUMMYFUNCTION("$C373*IMPORTRANGE(""https://docs.google.com/spreadsheets/d/1xsp01RMmkav9iTy39Zaj_7tE9677EGlOJ14KU9TZn7I/"",""2004-2017!AC2598"")"),16087.3042649907)</f>
        <v>16087.3042649907</v>
      </c>
      <c r="G379" s="72" t="s">
        <v>8</v>
      </c>
      <c r="K379" s="2"/>
      <c r="L379" s="3"/>
      <c r="M379" s="52"/>
      <c r="N379" s="52"/>
      <c r="O379" s="52"/>
      <c r="P379" s="52"/>
      <c r="Q379" s="2"/>
    </row>
    <row r="380" spans="1:17" ht="13.2" x14ac:dyDescent="0.25">
      <c r="A380" s="86" t="s">
        <v>370</v>
      </c>
      <c r="B380" s="89">
        <v>1663</v>
      </c>
      <c r="C380" s="59">
        <f>174944.1/1000</f>
        <v>174.94409999999999</v>
      </c>
      <c r="D380" s="71">
        <f ca="1">IFERROR(__xludf.DUMMYFUNCTION("$C374*IMPORTRANGE(""https://docs.google.com/spreadsheets/d/1xsp01RMmkav9iTy39Zaj_7tE9677EGlOJ14KU9TZn7I/"",""2004-2017!H2622"")"),133.436862833999)</f>
        <v>133.43686283399899</v>
      </c>
      <c r="E380" s="71">
        <f ca="1">IFERROR(__xludf.DUMMYFUNCTION("$C374*IMPORTRANGE(""https://docs.google.com/spreadsheets/d/1xsp01RMmkav9iTy39Zaj_7tE9677EGlOJ14KU9TZn7I/"",""2004-2017!T2622"")"),115.020497427)</f>
        <v>115.020497427</v>
      </c>
      <c r="F380" s="71">
        <f ca="1">IFERROR(__xludf.DUMMYFUNCTION("$C374*IMPORTRANGE(""https://docs.google.com/spreadsheets/d/1xsp01RMmkav9iTy39Zaj_7tE9677EGlOJ14KU9TZn7I/"",""2004-2017!AC2622"")"),17434.4038238118)</f>
        <v>17434.403823811801</v>
      </c>
      <c r="G380" s="57" t="s">
        <v>8</v>
      </c>
      <c r="K380" s="2"/>
      <c r="L380" s="3"/>
      <c r="M380" s="52"/>
      <c r="N380" s="52"/>
      <c r="O380" s="52"/>
      <c r="P380" s="52"/>
      <c r="Q380" s="2"/>
    </row>
    <row r="381" spans="1:17" ht="13.2" x14ac:dyDescent="0.25">
      <c r="A381" s="87" t="s">
        <v>371</v>
      </c>
      <c r="B381" s="90">
        <v>1395</v>
      </c>
      <c r="C381" s="74">
        <f>121326.4/1000</f>
        <v>121.32639999999999</v>
      </c>
      <c r="D381" s="75">
        <f ca="1">IFERROR(__xludf.DUMMYFUNCTION("$C375*IMPORTRANGE(""https://docs.google.com/spreadsheets/d/1xsp01RMmkav9iTy39Zaj_7tE9677EGlOJ14KU9TZn7I/"",""2004-2017!H2645"")"),90.987520416)</f>
        <v>90.987520415999995</v>
      </c>
      <c r="E381" s="75">
        <f ca="1">IFERROR(__xludf.DUMMYFUNCTION("$C375*IMPORTRANGE(""https://docs.google.com/spreadsheets/d/1xsp01RMmkav9iTy39Zaj_7tE9677EGlOJ14KU9TZn7I/"",""2004-2017!T2645"")"),78.165139832)</f>
        <v>78.165139831999994</v>
      </c>
      <c r="F381" s="75">
        <f ca="1">IFERROR(__xludf.DUMMYFUNCTION("$C375*IMPORTRANGE(""https://docs.google.com/spreadsheets/d/1xsp01RMmkav9iTy39Zaj_7tE9677EGlOJ14KU9TZn7I/"",""2004-2017!AC2645"")"),11861.960498284)</f>
        <v>11861.960498283999</v>
      </c>
      <c r="G381" s="72" t="s">
        <v>8</v>
      </c>
      <c r="K381" s="2"/>
      <c r="L381" s="3"/>
      <c r="M381" s="52"/>
      <c r="N381" s="52"/>
      <c r="O381" s="52"/>
      <c r="P381" s="52"/>
      <c r="Q381" s="2"/>
    </row>
    <row r="382" spans="1:17" ht="13.2" x14ac:dyDescent="0.25">
      <c r="A382" s="86" t="s">
        <v>372</v>
      </c>
      <c r="B382" s="89">
        <v>1549</v>
      </c>
      <c r="C382" s="59">
        <f>288012.9/1000</f>
        <v>288.0129</v>
      </c>
      <c r="D382" s="71">
        <f ca="1">IFERROR(__xludf.DUMMYFUNCTION("$C376*IMPORTRANGE(""https://docs.google.com/spreadsheets/d/1xsp01RMmkav9iTy39Zaj_7tE9677EGlOJ14KU9TZn7I/"",""2004-2017!H2667"")"),215.934791645999)</f>
        <v>215.93479164599901</v>
      </c>
      <c r="E382" s="71">
        <f ca="1">IFERROR(__xludf.DUMMYFUNCTION("$C376*IMPORTRANGE(""https://docs.google.com/spreadsheets/d/1xsp01RMmkav9iTy39Zaj_7tE9677EGlOJ14KU9TZn7I/"",""2004-2017!T2667"")"),181.105391648999)</f>
        <v>181.10539164899899</v>
      </c>
      <c r="F382" s="71">
        <f ca="1">IFERROR(__xludf.DUMMYFUNCTION("$C376*IMPORTRANGE(""https://docs.google.com/spreadsheets/d/1xsp01RMmkav9iTy39Zaj_7tE9677EGlOJ14KU9TZn7I/"",""2004-2017!AC2667"")"),28593.0566733)</f>
        <v>28593.056673300001</v>
      </c>
      <c r="G382" s="57" t="s">
        <v>8</v>
      </c>
      <c r="K382" s="2"/>
      <c r="L382" s="3"/>
      <c r="M382" s="52"/>
      <c r="N382" s="52"/>
      <c r="O382" s="52"/>
      <c r="P382" s="52"/>
      <c r="Q382" s="2"/>
    </row>
    <row r="383" spans="1:17" ht="13.2" x14ac:dyDescent="0.25">
      <c r="A383" s="87" t="s">
        <v>373</v>
      </c>
      <c r="B383" s="90">
        <v>1674</v>
      </c>
      <c r="C383" s="74">
        <f>164600.8/1000</f>
        <v>164.60079999999999</v>
      </c>
      <c r="D383" s="75">
        <f ca="1">IFERROR(__xludf.DUMMYFUNCTION("$C377*IMPORTRANGE(""https://docs.google.com/spreadsheets/d/1xsp01RMmkav9iTy39Zaj_7tE9677EGlOJ14KU9TZn7I/"",""2004-2017!H2691"")"),120.931384756)</f>
        <v>120.931384756</v>
      </c>
      <c r="E383" s="75">
        <f ca="1">IFERROR(__xludf.DUMMYFUNCTION("$C377*IMPORTRANGE(""https://docs.google.com/spreadsheets/d/1xsp01RMmkav9iTy39Zaj_7tE9677EGlOJ14KU9TZn7I/"",""2004-2017!T2691"")"),101.992416707999)</f>
        <v>101.992416707999</v>
      </c>
      <c r="F383" s="75">
        <f ca="1">IFERROR(__xludf.DUMMYFUNCTION("$C377*IMPORTRANGE(""https://docs.google.com/spreadsheets/d/1xsp01RMmkav9iTy39Zaj_7tE9677EGlOJ14KU9TZn7I/"",""2004-2017!AC2691"")"),16124.0474667999)</f>
        <v>16124.047466799901</v>
      </c>
      <c r="G383" s="72" t="s">
        <v>8</v>
      </c>
      <c r="K383" s="2"/>
      <c r="L383" s="3"/>
      <c r="M383" s="52"/>
      <c r="N383" s="52"/>
      <c r="O383" s="52"/>
      <c r="P383" s="52"/>
      <c r="Q383" s="2"/>
    </row>
    <row r="384" spans="1:17" ht="13.2" x14ac:dyDescent="0.25">
      <c r="A384" s="86" t="s">
        <v>374</v>
      </c>
      <c r="B384" s="89">
        <v>1594</v>
      </c>
      <c r="C384" s="59">
        <f>168048.6/1000</f>
        <v>168.04859999999999</v>
      </c>
      <c r="D384" s="71">
        <f ca="1">IFERROR(__xludf.DUMMYFUNCTION("$C378*IMPORTRANGE(""https://docs.google.com/spreadsheets/d/1xsp01RMmkav9iTy39Zaj_7tE9677EGlOJ14KU9TZn7I/"",""2004-2017!H2713"")"),124.535776001999)</f>
        <v>124.535776001999</v>
      </c>
      <c r="E384" s="71">
        <f ca="1">IFERROR(__xludf.DUMMYFUNCTION("$C378*IMPORTRANGE(""https://docs.google.com/spreadsheets/d/1xsp01RMmkav9iTy39Zaj_7tE9677EGlOJ14KU9TZn7I/"",""2004-2017!T2713"")"),104.45060733)</f>
        <v>104.45060733</v>
      </c>
      <c r="F384" s="71">
        <f ca="1">IFERROR(__xludf.DUMMYFUNCTION("$C378*IMPORTRANGE(""https://docs.google.com/spreadsheets/d/1xsp01RMmkav9iTy39Zaj_7tE9677EGlOJ14KU9TZn7I/"",""2004-2017!AC2713"")"),16781.8371737514)</f>
        <v>16781.837173751399</v>
      </c>
      <c r="G384" s="57" t="s">
        <v>8</v>
      </c>
      <c r="K384" s="2"/>
      <c r="L384" s="3"/>
      <c r="M384" s="52"/>
      <c r="N384" s="52"/>
      <c r="O384" s="52"/>
      <c r="P384" s="52"/>
      <c r="Q384" s="2"/>
    </row>
    <row r="385" spans="1:17" ht="13.2" x14ac:dyDescent="0.25">
      <c r="A385" s="88" t="s">
        <v>375</v>
      </c>
      <c r="B385" s="91">
        <v>2161</v>
      </c>
      <c r="C385" s="78">
        <f>204239.7/1000</f>
        <v>204.2397</v>
      </c>
      <c r="D385" s="79">
        <f ca="1">IFERROR(__xludf.DUMMYFUNCTION("$C379*IMPORTRANGE(""https://docs.google.com/spreadsheets/d/1xsp01RMmkav9iTy39Zaj_7tE9677EGlOJ14KU9TZn7I/"",""2004-2017!H2736"")"),149.101108190999)</f>
        <v>149.10110819099901</v>
      </c>
      <c r="E385" s="79">
        <f ca="1">IFERROR(__xludf.DUMMYFUNCTION("$C379*IMPORTRANGE(""https://docs.google.com/spreadsheets/d/1xsp01RMmkav9iTy39Zaj_7tE9677EGlOJ14KU9TZn7I/"",""2004-2017!T2736"")"),124.7812659135)</f>
        <v>124.78126591349999</v>
      </c>
      <c r="F385" s="79">
        <f ca="1">IFERROR(__xludf.DUMMYFUNCTION("$C379*IMPORTRANGE(""https://docs.google.com/spreadsheets/d/1xsp01RMmkav9iTy39Zaj_7tE9677EGlOJ14KU9TZn7I/"",""2004-2017!AC2736"")"),21091.4249311206)</f>
        <v>21091.4249311206</v>
      </c>
      <c r="G385" s="76" t="s">
        <v>8</v>
      </c>
      <c r="K385" s="2"/>
      <c r="L385" s="3"/>
      <c r="M385" s="52"/>
      <c r="N385" s="52"/>
      <c r="O385" s="52"/>
      <c r="P385" s="52"/>
      <c r="Q385" s="2"/>
    </row>
    <row r="386" spans="1:17" ht="13.2" x14ac:dyDescent="0.25">
      <c r="A386" s="68">
        <v>2014</v>
      </c>
      <c r="B386" s="69"/>
      <c r="C386" s="92"/>
      <c r="D386" s="92"/>
      <c r="E386" s="92"/>
      <c r="F386" s="92"/>
      <c r="G386" s="68"/>
      <c r="K386" s="2"/>
      <c r="L386" s="3"/>
      <c r="M386" s="52"/>
      <c r="N386" s="52"/>
      <c r="O386" s="52"/>
      <c r="P386" s="52"/>
      <c r="Q386" s="2"/>
    </row>
    <row r="387" spans="1:17" ht="13.2" x14ac:dyDescent="0.25">
      <c r="A387" s="86" t="s">
        <v>376</v>
      </c>
      <c r="B387" s="89">
        <v>1743</v>
      </c>
      <c r="C387" s="59">
        <f>176152.5/1000</f>
        <v>176.1525</v>
      </c>
      <c r="D387" s="71">
        <f ca="1">IFERROR(__xludf.DUMMYFUNCTION("$C381*IMPORTRANGE(""https://docs.google.com/spreadsheets/d/1xsp01RMmkav9iTy39Zaj_7tE9677EGlOJ14KU9TZn7I/"",""2004-2017!H2738"")"),129.220189425)</f>
        <v>129.220189425</v>
      </c>
      <c r="E387" s="71">
        <f ca="1">IFERROR(__xludf.DUMMYFUNCTION("$C381*IMPORTRANGE(""https://docs.google.com/spreadsheets/d/1xsp01RMmkav9iTy39Zaj_7tE9677EGlOJ14KU9TZn7I/"",""2004-2017!T2738"")"),106.919282925)</f>
        <v>106.919282925</v>
      </c>
      <c r="F387" s="71">
        <f ca="1">IFERROR(__xludf.DUMMYFUNCTION("$C381*IMPORTRANGE(""https://docs.google.com/spreadsheets/d/1xsp01RMmkav9iTy39Zaj_7tE9677EGlOJ14KU9TZn7I/"",""2004-2017!AC2738"")"),18359.493960195)</f>
        <v>18359.493960194999</v>
      </c>
      <c r="G387" s="57" t="s">
        <v>8</v>
      </c>
      <c r="K387" s="2"/>
      <c r="L387" s="3"/>
      <c r="M387" s="52"/>
      <c r="N387" s="52"/>
      <c r="O387" s="52"/>
      <c r="P387" s="52"/>
      <c r="Q387" s="2"/>
    </row>
    <row r="388" spans="1:17" ht="13.2" x14ac:dyDescent="0.25">
      <c r="A388" s="87" t="s">
        <v>377</v>
      </c>
      <c r="B388" s="90">
        <v>1531</v>
      </c>
      <c r="C388" s="74">
        <f>243934.7/1000</f>
        <v>243.93470000000002</v>
      </c>
      <c r="D388" s="75">
        <f ca="1">IFERROR(__xludf.DUMMYFUNCTION("$C382*IMPORTRANGE(""https://docs.google.com/spreadsheets/d/1xsp01RMmkav9iTy39Zaj_7tE9677EGlOJ14KU9TZn7I/"",""2004-2017!H2782"")"),178.3101673325)</f>
        <v>178.31016733249999</v>
      </c>
      <c r="E388" s="75">
        <f ca="1">IFERROR(__xludf.DUMMYFUNCTION("$C382*IMPORTRANGE(""https://docs.google.com/spreadsheets/d/1xsp01RMmkav9iTy39Zaj_7tE9677EGlOJ14KU9TZn7I/"",""2004-2017!T2782"")"),146.5498693925)</f>
        <v>146.5498693925</v>
      </c>
      <c r="F388" s="75">
        <f ca="1">IFERROR(__xludf.DUMMYFUNCTION("$C382*IMPORTRANGE(""https://docs.google.com/spreadsheets/d/1xsp01RMmkav9iTy39Zaj_7tE9677EGlOJ14KU9TZn7I/"",""2004-2017!AC2782"")"),24927.6876028367)</f>
        <v>24927.687602836701</v>
      </c>
      <c r="G388" s="72" t="s">
        <v>8</v>
      </c>
      <c r="K388" s="2"/>
      <c r="L388" s="3"/>
      <c r="M388" s="52"/>
      <c r="N388" s="52"/>
      <c r="O388" s="52"/>
      <c r="P388" s="52"/>
      <c r="Q388" s="2"/>
    </row>
    <row r="389" spans="1:17" ht="13.2" x14ac:dyDescent="0.25">
      <c r="A389" s="86" t="s">
        <v>378</v>
      </c>
      <c r="B389" s="89">
        <v>1635</v>
      </c>
      <c r="C389" s="59">
        <f>293367.7/1000</f>
        <v>293.36770000000001</v>
      </c>
      <c r="D389" s="71">
        <f ca="1">IFERROR(__xludf.DUMMYFUNCTION("$C383*IMPORTRANGE(""https://docs.google.com/spreadsheets/d/1xsp01RMmkav9iTy39Zaj_7tE9677EGlOJ14KU9TZn7I/"",""2004-2017!H2804"")"),212.289668751)</f>
        <v>212.28966875099999</v>
      </c>
      <c r="E389" s="71">
        <f ca="1">IFERROR(__xludf.DUMMYFUNCTION("$C383*IMPORTRANGE(""https://docs.google.com/spreadsheets/d/1xsp01RMmkav9iTy39Zaj_7tE9677EGlOJ14KU9TZn7I/"",""2004-2017!T2804"")"),176.46067155)</f>
        <v>176.46067155</v>
      </c>
      <c r="F389" s="71">
        <f ca="1">IFERROR(__xludf.DUMMYFUNCTION("$C383*IMPORTRANGE(""https://docs.google.com/spreadsheets/d/1xsp01RMmkav9iTy39Zaj_7tE9677EGlOJ14KU9TZn7I/"",""2004-2017!AC2804"")"),29994.2061355968)</f>
        <v>29994.2061355968</v>
      </c>
      <c r="G389" s="57" t="s">
        <v>8</v>
      </c>
      <c r="K389" s="2"/>
      <c r="L389" s="3"/>
      <c r="M389" s="52"/>
      <c r="N389" s="52"/>
      <c r="O389" s="52"/>
      <c r="P389" s="52"/>
      <c r="Q389" s="2"/>
    </row>
    <row r="390" spans="1:17" ht="13.2" x14ac:dyDescent="0.25">
      <c r="A390" s="87" t="s">
        <v>379</v>
      </c>
      <c r="B390" s="90">
        <v>1648</v>
      </c>
      <c r="C390" s="74">
        <f>426334.2/1000</f>
        <v>426.33420000000001</v>
      </c>
      <c r="D390" s="75">
        <f ca="1">IFERROR(__xludf.DUMMYFUNCTION("$C384*IMPORTRANGE(""https://docs.google.com/spreadsheets/d/1xsp01RMmkav9iTy39Zaj_7tE9677EGlOJ14KU9TZn7I/"",""2004-2017!H2827"")"),308.648907432)</f>
        <v>308.64890743199999</v>
      </c>
      <c r="E390" s="75">
        <f ca="1">IFERROR(__xludf.DUMMYFUNCTION("$C384*IMPORTRANGE(""https://docs.google.com/spreadsheets/d/1xsp01RMmkav9iTy39Zaj_7tE9677EGlOJ14KU9TZn7I/"",""2004-2017!T2827"")"),254.054681451)</f>
        <v>254.05468145099999</v>
      </c>
      <c r="F390" s="75">
        <f ca="1">IFERROR(__xludf.DUMMYFUNCTION("$C384*IMPORTRANGE(""https://docs.google.com/spreadsheets/d/1xsp01RMmkav9iTy39Zaj_7tE9677EGlOJ14KU9TZn7I/"",""2004-2017!AC2827"")"),43698.4032579341)</f>
        <v>43698.4032579341</v>
      </c>
      <c r="G390" s="72" t="s">
        <v>8</v>
      </c>
      <c r="K390" s="2"/>
      <c r="L390" s="3"/>
      <c r="M390" s="52"/>
      <c r="N390" s="52"/>
      <c r="O390" s="52"/>
      <c r="P390" s="52"/>
      <c r="Q390" s="2"/>
    </row>
    <row r="391" spans="1:17" ht="13.2" x14ac:dyDescent="0.25">
      <c r="A391" s="86" t="s">
        <v>380</v>
      </c>
      <c r="B391" s="89">
        <v>1703</v>
      </c>
      <c r="C391" s="59">
        <f>230518.7/1000</f>
        <v>230.51870000000002</v>
      </c>
      <c r="D391" s="71">
        <f ca="1">IFERROR(__xludf.DUMMYFUNCTION("$C385*IMPORTRANGE(""https://docs.google.com/spreadsheets/d/1xsp01RMmkav9iTy39Zaj_7tE9677EGlOJ14KU9TZn7I/"",""2004-2017!H2850"")"),168.075794544)</f>
        <v>168.07579454399999</v>
      </c>
      <c r="E391" s="71">
        <f ca="1">IFERROR(__xludf.DUMMYFUNCTION("$C385*IMPORTRANGE(""https://docs.google.com/spreadsheets/d/1xsp01RMmkav9iTy39Zaj_7tE9677EGlOJ14KU9TZn7I/"",""2004-2017!T2850"")"),136.78979658)</f>
        <v>136.78979658</v>
      </c>
      <c r="F391" s="71">
        <f ca="1">IFERROR(__xludf.DUMMYFUNCTION("$C385*IMPORTRANGE(""https://docs.google.com/spreadsheets/d/1xsp01RMmkav9iTy39Zaj_7tE9677EGlOJ14KU9TZn7I/"",""2004-2017!AC2850"")"),23476.8316844874)</f>
        <v>23476.831684487399</v>
      </c>
      <c r="G391" s="57" t="s">
        <v>8</v>
      </c>
      <c r="K391" s="2"/>
      <c r="L391" s="3"/>
      <c r="M391" s="52"/>
      <c r="N391" s="52"/>
      <c r="O391" s="52"/>
      <c r="P391" s="52"/>
      <c r="Q391" s="2"/>
    </row>
    <row r="392" spans="1:17" ht="13.2" x14ac:dyDescent="0.25">
      <c r="A392" s="87" t="s">
        <v>381</v>
      </c>
      <c r="B392" s="90">
        <v>1802</v>
      </c>
      <c r="C392" s="74">
        <f>274007.1/1000</f>
        <v>274.00709999999998</v>
      </c>
      <c r="D392" s="75">
        <f ca="1">IFERROR(__xludf.DUMMYFUNCTION("$C386*IMPORTRANGE(""https://docs.google.com/spreadsheets/d/1xsp01RMmkav9iTy39Zaj_7tE9677EGlOJ14KU9TZn7I/"",""2004-2017!H2872"")"),201.447279848999)</f>
        <v>201.44727984899899</v>
      </c>
      <c r="E392" s="75">
        <f ca="1">IFERROR(__xludf.DUMMYFUNCTION("$C386*IMPORTRANGE(""https://docs.google.com/spreadsheets/d/1xsp01RMmkav9iTy39Zaj_7tE9677EGlOJ14KU9TZn7I/"",""2004-2017!T2872"")"),161.562806372999)</f>
        <v>161.56280637299901</v>
      </c>
      <c r="F392" s="75">
        <f ca="1">IFERROR(__xludf.DUMMYFUNCTION("$C386*IMPORTRANGE(""https://docs.google.com/spreadsheets/d/1xsp01RMmkav9iTy39Zaj_7tE9677EGlOJ14KU9TZn7I/"",""2004-2017!AC2872"")"),27939.6827877213)</f>
        <v>27939.6827877213</v>
      </c>
      <c r="G392" s="72" t="s">
        <v>8</v>
      </c>
      <c r="K392" s="2"/>
      <c r="L392" s="3"/>
      <c r="M392" s="52"/>
      <c r="N392" s="52"/>
      <c r="O392" s="52"/>
      <c r="P392" s="52"/>
      <c r="Q392" s="2"/>
    </row>
    <row r="393" spans="1:17" ht="13.2" x14ac:dyDescent="0.25">
      <c r="A393" s="86" t="s">
        <v>382</v>
      </c>
      <c r="B393" s="89">
        <v>1892</v>
      </c>
      <c r="C393" s="59">
        <f>392691.3/1000</f>
        <v>392.69130000000001</v>
      </c>
      <c r="D393" s="71">
        <f ca="1">IFERROR(__xludf.DUMMYFUNCTION("$C387*IMPORTRANGE(""https://docs.google.com/spreadsheets/d/1xsp01RMmkav9iTy39Zaj_7tE9677EGlOJ14KU9TZn7I/"",""2004-2017!H2896"")"),289.338876753)</f>
        <v>289.33887675300002</v>
      </c>
      <c r="E393" s="71">
        <f ca="1">IFERROR(__xludf.DUMMYFUNCTION("$C387*IMPORTRANGE(""https://docs.google.com/spreadsheets/d/1xsp01RMmkav9iTy39Zaj_7tE9677EGlOJ14KU9TZn7I/"",""2004-2017!T2896"")"),229.512357198)</f>
        <v>229.51235719799999</v>
      </c>
      <c r="F393" s="71">
        <f ca="1">IFERROR(__xludf.DUMMYFUNCTION("$C387*IMPORTRANGE(""https://docs.google.com/spreadsheets/d/1xsp01RMmkav9iTy39Zaj_7tE9677EGlOJ14KU9TZn7I/"",""2004-2017!AC2896"")"),39873.8749946913)</f>
        <v>39873.874994691301</v>
      </c>
      <c r="G393" s="57" t="s">
        <v>8</v>
      </c>
      <c r="K393" s="2"/>
      <c r="L393" s="3"/>
      <c r="M393" s="52"/>
      <c r="N393" s="52"/>
      <c r="O393" s="52"/>
      <c r="P393" s="52"/>
      <c r="Q393" s="2"/>
    </row>
    <row r="394" spans="1:17" ht="13.2" x14ac:dyDescent="0.25">
      <c r="A394" s="87" t="s">
        <v>383</v>
      </c>
      <c r="B394" s="90">
        <v>1509</v>
      </c>
      <c r="C394" s="74">
        <f>216182.7/1000</f>
        <v>216.18270000000001</v>
      </c>
      <c r="D394" s="75">
        <f ca="1">IFERROR(__xludf.DUMMYFUNCTION("$C388*IMPORTRANGE(""https://docs.google.com/spreadsheets/d/1xsp01RMmkav9iTy39Zaj_7tE9677EGlOJ14KU9TZn7I/"",""2004-2017!H2918"")"),161.765190756)</f>
        <v>161.76519075600001</v>
      </c>
      <c r="E394" s="75">
        <f ca="1">IFERROR(__xludf.DUMMYFUNCTION("$C388*IMPORTRANGE(""https://docs.google.com/spreadsheets/d/1xsp01RMmkav9iTy39Zaj_7tE9677EGlOJ14KU9TZn7I/"",""2004-2017!T2918"")"),129.294549216)</f>
        <v>129.29454921600001</v>
      </c>
      <c r="F394" s="75">
        <f ca="1">IFERROR(__xludf.DUMMYFUNCTION("$C388*IMPORTRANGE(""https://docs.google.com/spreadsheets/d/1xsp01RMmkav9iTy39Zaj_7tE9677EGlOJ14KU9TZn7I/"",""2004-2017!AC2918"")"),22177.9663617519)</f>
        <v>22177.9663617519</v>
      </c>
      <c r="G394" s="72" t="s">
        <v>8</v>
      </c>
      <c r="K394" s="2"/>
      <c r="L394" s="3"/>
      <c r="M394" s="52"/>
      <c r="N394" s="52"/>
      <c r="O394" s="52"/>
      <c r="P394" s="52"/>
      <c r="Q394" s="2"/>
    </row>
    <row r="395" spans="1:17" ht="13.2" x14ac:dyDescent="0.25">
      <c r="A395" s="86" t="s">
        <v>384</v>
      </c>
      <c r="B395" s="89">
        <v>1748</v>
      </c>
      <c r="C395" s="59">
        <f>199804.7/1000</f>
        <v>199.80470000000003</v>
      </c>
      <c r="D395" s="71">
        <f ca="1">IFERROR(__xludf.DUMMYFUNCTION("$C389*IMPORTRANGE(""https://docs.google.com/spreadsheets/d/1xsp01RMmkav9iTy39Zaj_7tE9677EGlOJ14KU9TZn7I/"",""2004-2017!H2941"")"),154.6258602595)</f>
        <v>154.6258602595</v>
      </c>
      <c r="E395" s="71">
        <f ca="1">IFERROR(__xludf.DUMMYFUNCTION("$C389*IMPORTRANGE(""https://docs.google.com/spreadsheets/d/1xsp01RMmkav9iTy39Zaj_7tE9677EGlOJ14KU9TZn7I/"",""2004-2017!T2941"")"),122.722044787)</f>
        <v>122.722044787</v>
      </c>
      <c r="F395" s="71">
        <f ca="1">IFERROR(__xludf.DUMMYFUNCTION("$C389*IMPORTRANGE(""https://docs.google.com/spreadsheets/d/1xsp01RMmkav9iTy39Zaj_7tE9677EGlOJ14KU9TZn7I/"",""2004-2017!AC2941"")"),21407.8749766047)</f>
        <v>21407.8749766047</v>
      </c>
      <c r="G395" s="57" t="s">
        <v>8</v>
      </c>
      <c r="K395" s="2"/>
      <c r="L395" s="3"/>
      <c r="M395" s="52"/>
      <c r="N395" s="52"/>
      <c r="O395" s="52"/>
      <c r="P395" s="52"/>
      <c r="Q395" s="2"/>
    </row>
    <row r="396" spans="1:17" ht="13.2" x14ac:dyDescent="0.25">
      <c r="A396" s="87" t="s">
        <v>385</v>
      </c>
      <c r="B396" s="90">
        <v>1821</v>
      </c>
      <c r="C396" s="74">
        <f>188985.8/1000</f>
        <v>188.98579999999998</v>
      </c>
      <c r="D396" s="75">
        <f ca="1">IFERROR(__xludf.DUMMYFUNCTION("$C390*IMPORTRANGE(""https://docs.google.com/spreadsheets/d/1xsp01RMmkav9iTy39Zaj_7tE9677EGlOJ14KU9TZn7I/"",""2004-2017!H2965"")"),149.153262934)</f>
        <v>149.153262934</v>
      </c>
      <c r="E396" s="75">
        <f ca="1">IFERROR(__xludf.DUMMYFUNCTION("$C390*IMPORTRANGE(""https://docs.google.com/spreadsheets/d/1xsp01RMmkav9iTy39Zaj_7tE9677EGlOJ14KU9TZn7I/"",""2004-2017!T2965"")"),117.433886261999)</f>
        <v>117.43388626199901</v>
      </c>
      <c r="F396" s="75">
        <f ca="1">IFERROR(__xludf.DUMMYFUNCTION("$C390*IMPORTRANGE(""https://docs.google.com/spreadsheets/d/1xsp01RMmkav9iTy39Zaj_7tE9677EGlOJ14KU9TZn7I/"",""2004-2017!AC2965"")"),20424.0731886142)</f>
        <v>20424.073188614198</v>
      </c>
      <c r="G396" s="72" t="s">
        <v>8</v>
      </c>
      <c r="K396" s="2"/>
      <c r="L396" s="3"/>
      <c r="M396" s="52"/>
      <c r="N396" s="52"/>
      <c r="O396" s="52"/>
      <c r="P396" s="52"/>
      <c r="Q396" s="2"/>
    </row>
    <row r="397" spans="1:17" ht="13.2" x14ac:dyDescent="0.25">
      <c r="A397" s="86" t="s">
        <v>386</v>
      </c>
      <c r="B397" s="89">
        <v>1764</v>
      </c>
      <c r="C397" s="59">
        <f>327463.1/1000</f>
        <v>327.4631</v>
      </c>
      <c r="D397" s="71">
        <f ca="1">IFERROR(__xludf.DUMMYFUNCTION("$C391*IMPORTRANGE(""https://docs.google.com/spreadsheets/d/1xsp01RMmkav9iTy39Zaj_7tE9677EGlOJ14KU9TZn7I/"",""2004-2017!H2986"")"),262.432202971)</f>
        <v>262.43220297099998</v>
      </c>
      <c r="E397" s="71">
        <f ca="1">IFERROR(__xludf.DUMMYFUNCTION("$C391*IMPORTRANGE(""https://docs.google.com/spreadsheets/d/1xsp01RMmkav9iTy39Zaj_7tE9677EGlOJ14KU9TZn7I/"",""2004-2017!T2986"")"),207.955441654999)</f>
        <v>207.95544165499899</v>
      </c>
      <c r="F397" s="71">
        <f ca="1">IFERROR(__xludf.DUMMYFUNCTION("$C391*IMPORTRANGE(""https://docs.google.com/spreadsheets/d/1xsp01RMmkav9iTy39Zaj_7tE9677EGlOJ14KU9TZn7I/"",""2004-2017!AC2986"")"),38062.6735922315)</f>
        <v>38062.673592231498</v>
      </c>
      <c r="G397" s="57" t="s">
        <v>8</v>
      </c>
      <c r="K397" s="2"/>
      <c r="L397" s="3"/>
      <c r="M397" s="52"/>
      <c r="N397" s="52"/>
      <c r="O397" s="52"/>
      <c r="P397" s="52"/>
      <c r="Q397" s="2"/>
    </row>
    <row r="398" spans="1:17" ht="13.2" x14ac:dyDescent="0.25">
      <c r="A398" s="88" t="s">
        <v>387</v>
      </c>
      <c r="B398" s="91">
        <v>2278</v>
      </c>
      <c r="C398" s="78">
        <f>308056.7/1000</f>
        <v>308.05670000000003</v>
      </c>
      <c r="D398" s="79">
        <f ca="1">IFERROR(__xludf.DUMMYFUNCTION("$C392*IMPORTRANGE(""https://docs.google.com/spreadsheets/d/1xsp01RMmkav9iTy39Zaj_7tE9677EGlOJ14KU9TZn7I/"",""2004-2017!H3010"")"),250.114315297)</f>
        <v>250.11431529699999</v>
      </c>
      <c r="E398" s="79">
        <f ca="1">IFERROR(__xludf.DUMMYFUNCTION("$C392*IMPORTRANGE(""https://docs.google.com/spreadsheets/d/1xsp01RMmkav9iTy39Zaj_7tE9677EGlOJ14KU9TZn7I/"",""2004-2017!T3010"")"),196.900600939)</f>
        <v>196.90060093899999</v>
      </c>
      <c r="F398" s="79">
        <f ca="1">IFERROR(__xludf.DUMMYFUNCTION("$C392*IMPORTRANGE(""https://docs.google.com/spreadsheets/d/1xsp01RMmkav9iTy39Zaj_7tE9677EGlOJ14KU9TZn7I/"",""2004-2017!AC3010"")"),36799.8372686)</f>
        <v>36799.8372686</v>
      </c>
      <c r="G398" s="76" t="s">
        <v>8</v>
      </c>
      <c r="K398" s="2"/>
      <c r="L398" s="3"/>
      <c r="M398" s="52"/>
      <c r="N398" s="52"/>
      <c r="O398" s="52"/>
      <c r="P398" s="52"/>
      <c r="Q398" s="2"/>
    </row>
    <row r="399" spans="1:17" ht="13.2" x14ac:dyDescent="0.25">
      <c r="A399" s="68">
        <v>2015</v>
      </c>
      <c r="B399" s="69"/>
      <c r="C399" s="92"/>
      <c r="D399" s="92"/>
      <c r="E399" s="92"/>
      <c r="F399" s="92"/>
      <c r="G399" s="68"/>
      <c r="K399" s="2"/>
      <c r="L399" s="3"/>
      <c r="M399" s="52"/>
      <c r="N399" s="52"/>
      <c r="O399" s="52"/>
      <c r="P399" s="52"/>
      <c r="Q399" s="2"/>
    </row>
    <row r="400" spans="1:17" ht="13.2" x14ac:dyDescent="0.25">
      <c r="A400" s="86" t="s">
        <v>388</v>
      </c>
      <c r="B400" s="89">
        <v>1737</v>
      </c>
      <c r="C400" s="59">
        <f>219261.2/1000</f>
        <v>219.2612</v>
      </c>
      <c r="D400" s="71">
        <f ca="1">IFERROR(__xludf.DUMMYFUNCTION("$C394*IMPORTRANGE(""https://docs.google.com/spreadsheets/d/1xsp01RMmkav9iTy39Zaj_7tE9677EGlOJ14KU9TZn7I/"",""2004-2017!H3034"")"),187.284146592)</f>
        <v>187.28414659200001</v>
      </c>
      <c r="E400" s="71">
        <f ca="1">IFERROR(__xludf.DUMMYFUNCTION("$C394*IMPORTRANGE(""https://docs.google.com/spreadsheets/d/1xsp01RMmkav9iTy39Zaj_7tE9677EGlOJ14KU9TZn7I/"",""2004-2017!T3034"")"),144.763918382)</f>
        <v>144.76391838200001</v>
      </c>
      <c r="F400" s="71">
        <f ca="1">IFERROR(__xludf.DUMMYFUNCTION("$C394*IMPORTRANGE(""https://docs.google.com/spreadsheets/d/1xsp01RMmkav9iTy39Zaj_7tE9677EGlOJ14KU9TZn7I/"",""2004-2017!AC3034"")"),25935.9692641224)</f>
        <v>25935.969264122399</v>
      </c>
      <c r="G400" s="57" t="s">
        <v>8</v>
      </c>
      <c r="K400" s="2"/>
      <c r="L400" s="3"/>
      <c r="M400" s="52"/>
      <c r="N400" s="52"/>
      <c r="O400" s="52"/>
      <c r="P400" s="52"/>
      <c r="Q400" s="2"/>
    </row>
    <row r="401" spans="1:17" ht="13.2" x14ac:dyDescent="0.25">
      <c r="A401" s="87" t="s">
        <v>389</v>
      </c>
      <c r="B401" s="90">
        <v>1564</v>
      </c>
      <c r="C401" s="74">
        <f>206253.4/1000</f>
        <v>206.2534</v>
      </c>
      <c r="D401" s="75">
        <f ca="1">IFERROR(__xludf.DUMMYFUNCTION("$C395*IMPORTRANGE(""https://docs.google.com/spreadsheets/d/1xsp01RMmkav9iTy39Zaj_7tE9677EGlOJ14KU9TZn7I/"",""2004-2017!H3055"")"),181.875279386999)</f>
        <v>181.87527938699901</v>
      </c>
      <c r="E401" s="75">
        <f ca="1">IFERROR(__xludf.DUMMYFUNCTION("$C395*IMPORTRANGE(""https://docs.google.com/spreadsheets/d/1xsp01RMmkav9iTy39Zaj_7tE9677EGlOJ14KU9TZn7I/"",""2004-2017!T3055"")"),134.324589283999)</f>
        <v>134.32458928399899</v>
      </c>
      <c r="F401" s="75">
        <f ca="1">IFERROR(__xludf.DUMMYFUNCTION("$C395*IMPORTRANGE(""https://docs.google.com/spreadsheets/d/1xsp01RMmkav9iTy39Zaj_7tE9677EGlOJ14KU9TZn7I/"",""2004-2017!AC3055"")"),24514.6600544199)</f>
        <v>24514.660054419899</v>
      </c>
      <c r="G401" s="72" t="s">
        <v>8</v>
      </c>
      <c r="K401" s="2"/>
      <c r="L401" s="3"/>
      <c r="M401" s="52"/>
      <c r="N401" s="52"/>
      <c r="O401" s="52"/>
      <c r="P401" s="52"/>
      <c r="Q401" s="2"/>
    </row>
    <row r="402" spans="1:17" ht="13.2" x14ac:dyDescent="0.25">
      <c r="A402" s="86" t="s">
        <v>390</v>
      </c>
      <c r="B402" s="80">
        <v>1933</v>
      </c>
      <c r="C402" s="59">
        <f>325992.8/1000</f>
        <v>325.99279999999999</v>
      </c>
      <c r="D402" s="71">
        <f ca="1">IFERROR(__xludf.DUMMYFUNCTION("$C396*IMPORTRANGE(""https://docs.google.com/spreadsheets/d/1xsp01RMmkav9iTy39Zaj_7tE9677EGlOJ14KU9TZn7I/"",""2004-2017!H3078"")"),300.509942824)</f>
        <v>300.50994282400001</v>
      </c>
      <c r="E402" s="71">
        <f ca="1">IFERROR(__xludf.DUMMYFUNCTION("$C396*IMPORTRANGE(""https://docs.google.com/spreadsheets/d/1xsp01RMmkav9iTy39Zaj_7tE9677EGlOJ14KU9TZn7I/"",""2004-2017!T3078"")"),218.229360104)</f>
        <v>218.22936010399999</v>
      </c>
      <c r="F402" s="71">
        <f ca="1">IFERROR(__xludf.DUMMYFUNCTION("$C396*IMPORTRANGE(""https://docs.google.com/spreadsheets/d/1xsp01RMmkav9iTy39Zaj_7tE9677EGlOJ14KU9TZn7I/"",""2004-2017!AC3078"")"),39136.9027705963)</f>
        <v>39136.902770596302</v>
      </c>
      <c r="G402" s="57" t="s">
        <v>8</v>
      </c>
      <c r="K402" s="2"/>
      <c r="L402" s="3"/>
      <c r="M402" s="52"/>
      <c r="N402" s="52"/>
      <c r="O402" s="52"/>
      <c r="P402" s="52"/>
      <c r="Q402" s="2"/>
    </row>
    <row r="403" spans="1:17" ht="13.2" x14ac:dyDescent="0.25">
      <c r="A403" s="87" t="s">
        <v>391</v>
      </c>
      <c r="B403" s="90">
        <v>1810</v>
      </c>
      <c r="C403" s="74">
        <f>426258.6/1000</f>
        <v>426.2586</v>
      </c>
      <c r="D403" s="75">
        <f ca="1">IFERROR(__xludf.DUMMYFUNCTION("$C397*IMPORTRANGE(""https://docs.google.com/spreadsheets/d/1xsp01RMmkav9iTy39Zaj_7tE9677EGlOJ14KU9TZn7I/"",""2004-2017!H3101"")"),395.50404201)</f>
        <v>395.50404200999998</v>
      </c>
      <c r="E403" s="75">
        <f ca="1">IFERROR(__xludf.DUMMYFUNCTION("$C397*IMPORTRANGE(""https://docs.google.com/spreadsheets/d/1xsp01RMmkav9iTy39Zaj_7tE9677EGlOJ14KU9TZn7I/"",""2004-2017!T3101"")"),286.074934218)</f>
        <v>286.07493421800001</v>
      </c>
      <c r="F403" s="75">
        <f ca="1">IFERROR(__xludf.DUMMYFUNCTION("$C397*IMPORTRANGE(""https://docs.google.com/spreadsheets/d/1xsp01RMmkav9iTy39Zaj_7tE9677EGlOJ14KU9TZn7I/"",""2004-2017!AC3101"")"),50948.1320538828)</f>
        <v>50948.1320538828</v>
      </c>
      <c r="G403" s="72" t="s">
        <v>8</v>
      </c>
      <c r="K403" s="2"/>
      <c r="L403" s="3"/>
      <c r="M403" s="52"/>
      <c r="N403" s="52"/>
      <c r="O403" s="52"/>
      <c r="P403" s="52"/>
      <c r="Q403" s="2"/>
    </row>
    <row r="404" spans="1:17" ht="13.2" x14ac:dyDescent="0.25">
      <c r="A404" s="86" t="s">
        <v>392</v>
      </c>
      <c r="B404" s="89">
        <v>1670</v>
      </c>
      <c r="C404" s="59">
        <f>316685.3/1000</f>
        <v>316.68529999999998</v>
      </c>
      <c r="D404" s="71">
        <f ca="1">IFERROR(__xludf.DUMMYFUNCTION("$C398*IMPORTRANGE(""https://docs.google.com/spreadsheets/d/1xsp01RMmkav9iTy39Zaj_7tE9677EGlOJ14KU9TZn7I/"",""2004-2017!H3123"")"),283.110324494)</f>
        <v>283.110324494</v>
      </c>
      <c r="E404" s="71">
        <f ca="1">IFERROR(__xludf.DUMMYFUNCTION("$C398*IMPORTRANGE(""https://docs.google.com/spreadsheets/d/1xsp01RMmkav9iTy39Zaj_7tE9677EGlOJ14KU9TZn7I/"",""2004-2017!T3123"")"),204.680043096)</f>
        <v>204.68004309599999</v>
      </c>
      <c r="F404" s="71">
        <f ca="1">IFERROR(__xludf.DUMMYFUNCTION("$C398*IMPORTRANGE(""https://docs.google.com/spreadsheets/d/1xsp01RMmkav9iTy39Zaj_7tE9677EGlOJ14KU9TZn7I/"",""2004-2017!AC3123"")"),38033.9038966293)</f>
        <v>38033.903896629301</v>
      </c>
      <c r="G404" s="57" t="s">
        <v>8</v>
      </c>
      <c r="K404" s="2"/>
      <c r="L404" s="3"/>
      <c r="M404" s="52"/>
      <c r="N404" s="52"/>
      <c r="O404" s="52"/>
      <c r="P404" s="52"/>
      <c r="Q404" s="2"/>
    </row>
    <row r="405" spans="1:17" ht="13.2" x14ac:dyDescent="0.25">
      <c r="A405" s="87" t="s">
        <v>393</v>
      </c>
      <c r="B405" s="90">
        <v>1961</v>
      </c>
      <c r="C405" s="74">
        <f>342479.4/1000</f>
        <v>342.4794</v>
      </c>
      <c r="D405" s="75">
        <f ca="1">IFERROR(__xludf.DUMMYFUNCTION("$C399*IMPORTRANGE(""https://docs.google.com/spreadsheets/d/1xsp01RMmkav9iTy39Zaj_7tE9677EGlOJ14KU9TZn7I/"",""2004-2017!H3146"")"),304.919684202)</f>
        <v>304.91968420199998</v>
      </c>
      <c r="E405" s="75">
        <f ca="1">IFERROR(__xludf.DUMMYFUNCTION("$C399*IMPORTRANGE(""https://docs.google.com/spreadsheets/d/1xsp01RMmkav9iTy39Zaj_7tE9677EGlOJ14KU9TZn7I/"",""2004-2017!T3146"")"),219.83752686)</f>
        <v>219.83752686</v>
      </c>
      <c r="F405" s="75">
        <f ca="1">IFERROR(__xludf.DUMMYFUNCTION("$C399*IMPORTRANGE(""https://docs.google.com/spreadsheets/d/1xsp01RMmkav9iTy39Zaj_7tE9677EGlOJ14KU9TZn7I/"",""2004-2017!AC3146"")"),42326.8579775397)</f>
        <v>42326.857977539701</v>
      </c>
      <c r="G405" s="72" t="s">
        <v>8</v>
      </c>
      <c r="K405" s="2"/>
      <c r="L405" s="3"/>
      <c r="M405" s="52"/>
      <c r="N405" s="52"/>
      <c r="O405" s="52"/>
      <c r="P405" s="52"/>
      <c r="Q405" s="2"/>
    </row>
    <row r="406" spans="1:17" ht="13.2" x14ac:dyDescent="0.25">
      <c r="A406" s="86" t="s">
        <v>394</v>
      </c>
      <c r="B406" s="89">
        <v>2123</v>
      </c>
      <c r="C406" s="59">
        <f>341566.2/1000</f>
        <v>341.56620000000004</v>
      </c>
      <c r="D406" s="71">
        <f ca="1">IFERROR(__xludf.DUMMYFUNCTION("$C400*IMPORTRANGE(""https://docs.google.com/spreadsheets/d/1xsp01RMmkav9iTy39Zaj_7tE9677EGlOJ14KU9TZn7I/"",""2004-2017!H3170"")"),310.6544589)</f>
        <v>310.65445890000001</v>
      </c>
      <c r="E406" s="71">
        <f ca="1">IFERROR(__xludf.DUMMYFUNCTION("$C400*IMPORTRANGE(""https://docs.google.com/spreadsheets/d/1xsp01RMmkav9iTy39Zaj_7tE9677EGlOJ14KU9TZn7I/"",""2004-2017!T3170"")"),218.947349862)</f>
        <v>218.94734986200001</v>
      </c>
      <c r="F406" s="71">
        <f ca="1">IFERROR(__xludf.DUMMYFUNCTION("$C400*IMPORTRANGE(""https://docs.google.com/spreadsheets/d/1xsp01RMmkav9iTy39Zaj_7tE9677EGlOJ14KU9TZn7I/"",""2004-2017!AC3170"")"),42207.335334)</f>
        <v>42207.335334000003</v>
      </c>
      <c r="G406" s="57" t="s">
        <v>8</v>
      </c>
      <c r="K406" s="2"/>
      <c r="L406" s="3"/>
      <c r="M406" s="52"/>
      <c r="N406" s="52"/>
      <c r="O406" s="52"/>
      <c r="P406" s="52"/>
      <c r="Q406" s="2"/>
    </row>
    <row r="407" spans="1:17" ht="13.2" x14ac:dyDescent="0.25">
      <c r="A407" s="87" t="s">
        <v>395</v>
      </c>
      <c r="B407" s="90">
        <v>1694</v>
      </c>
      <c r="C407" s="74">
        <f>257425/1000</f>
        <v>257.42500000000001</v>
      </c>
      <c r="D407" s="75">
        <f ca="1">IFERROR(__xludf.DUMMYFUNCTION("$C401*IMPORTRANGE(""https://docs.google.com/spreadsheets/d/1xsp01RMmkav9iTy39Zaj_7tE9677EGlOJ14KU9TZn7I/"",""2004-2017!H3192"")"),232.06091475)</f>
        <v>232.06091474999999</v>
      </c>
      <c r="E407" s="75">
        <f ca="1">IFERROR(__xludf.DUMMYFUNCTION("$C401*IMPORTRANGE(""https://docs.google.com/spreadsheets/d/1xsp01RMmkav9iTy39Zaj_7tE9677EGlOJ14KU9TZn7I/"",""2004-2017!T3192"")"),164.9527915)</f>
        <v>164.95279149999999</v>
      </c>
      <c r="F407" s="75">
        <f ca="1">IFERROR(__xludf.DUMMYFUNCTION("$C401*IMPORTRANGE(""https://docs.google.com/spreadsheets/d/1xsp01RMmkav9iTy39Zaj_7tE9677EGlOJ14KU9TZn7I/"",""2004-2017!AC3192"")"),31986.342602725)</f>
        <v>31986.342602724999</v>
      </c>
      <c r="G407" s="72" t="s">
        <v>8</v>
      </c>
      <c r="K407" s="2"/>
      <c r="L407" s="3"/>
      <c r="M407" s="52"/>
      <c r="N407" s="52"/>
      <c r="O407" s="52"/>
      <c r="P407" s="52"/>
      <c r="Q407" s="2"/>
    </row>
    <row r="408" spans="1:17" ht="13.2" x14ac:dyDescent="0.25">
      <c r="A408" s="86" t="s">
        <v>396</v>
      </c>
      <c r="B408" s="89">
        <v>1812</v>
      </c>
      <c r="C408" s="59">
        <f>237289.7/1000</f>
        <v>237.28970000000001</v>
      </c>
      <c r="D408" s="71">
        <f ca="1">IFERROR(__xludf.DUMMYFUNCTION("$C402*IMPORTRANGE(""https://docs.google.com/spreadsheets/d/1xsp01RMmkav9iTy39Zaj_7tE9677EGlOJ14KU9TZn7I/"",""2004-2017!H3215"")"),211.4263091485)</f>
        <v>211.4263091485</v>
      </c>
      <c r="E408" s="71">
        <f ca="1">IFERROR(__xludf.DUMMYFUNCTION("$C402*IMPORTRANGE(""https://docs.google.com/spreadsheets/d/1xsp01RMmkav9iTy39Zaj_7tE9677EGlOJ14KU9TZn7I/"",""2004-2017!T3215"")"),154.591866653)</f>
        <v>154.59186665300001</v>
      </c>
      <c r="F408" s="71">
        <f ca="1">IFERROR(__xludf.DUMMYFUNCTION("$C402*IMPORTRANGE(""https://docs.google.com/spreadsheets/d/1xsp01RMmkav9iTy39Zaj_7tE9677EGlOJ14KU9TZn7I/"",""2004-2017!AC3215"")"),28526.9671407757)</f>
        <v>28526.967140775701</v>
      </c>
      <c r="G408" s="57" t="s">
        <v>8</v>
      </c>
      <c r="K408" s="2"/>
      <c r="L408" s="3"/>
      <c r="M408" s="52"/>
      <c r="N408" s="52"/>
      <c r="O408" s="52"/>
      <c r="P408" s="52"/>
      <c r="Q408" s="2"/>
    </row>
    <row r="409" spans="1:17" ht="13.2" x14ac:dyDescent="0.25">
      <c r="A409" s="87" t="s">
        <v>397</v>
      </c>
      <c r="B409" s="90">
        <v>1793</v>
      </c>
      <c r="C409" s="74">
        <f>461975.2/1000</f>
        <v>461.97520000000003</v>
      </c>
      <c r="D409" s="75">
        <f ca="1">IFERROR(__xludf.DUMMYFUNCTION("$C403*IMPORTRANGE(""https://docs.google.com/spreadsheets/d/1xsp01RMmkav9iTy39Zaj_7tE9677EGlOJ14KU9TZn7I/"",""2004-2017!H3238"")"),410.49961334)</f>
        <v>410.49961334</v>
      </c>
      <c r="E409" s="75">
        <f ca="1">IFERROR(__xludf.DUMMYFUNCTION("$C403*IMPORTRANGE(""https://docs.google.com/spreadsheets/d/1xsp01RMmkav9iTy39Zaj_7tE9677EGlOJ14KU9TZn7I/"",""2004-2017!T3238"")"),301.482705644)</f>
        <v>301.48270564400002</v>
      </c>
      <c r="F409" s="75">
        <f ca="1">IFERROR(__xludf.DUMMYFUNCTION("$C403*IMPORTRANGE(""https://docs.google.com/spreadsheets/d/1xsp01RMmkav9iTy39Zaj_7tE9677EGlOJ14KU9TZn7I/"",""2004-2017!AC3238"")"),55419.4698663504)</f>
        <v>55419.469866350402</v>
      </c>
      <c r="G409" s="72" t="s">
        <v>8</v>
      </c>
      <c r="K409" s="2"/>
      <c r="L409" s="3"/>
      <c r="M409" s="52"/>
      <c r="N409" s="52"/>
      <c r="O409" s="52"/>
      <c r="P409" s="52"/>
      <c r="Q409" s="2"/>
    </row>
    <row r="410" spans="1:17" ht="13.2" x14ac:dyDescent="0.25">
      <c r="A410" s="86" t="s">
        <v>398</v>
      </c>
      <c r="B410" s="89">
        <v>1865</v>
      </c>
      <c r="C410" s="59">
        <f>466465.7/1000</f>
        <v>466.46570000000003</v>
      </c>
      <c r="D410" s="71">
        <f ca="1">IFERROR(__xludf.DUMMYFUNCTION("$C404*IMPORTRANGE(""https://docs.google.com/spreadsheets/d/1xsp01RMmkav9iTy39Zaj_7tE9677EGlOJ14KU9TZn7I/"",""2004-2017!H3260"")"),434.88597211)</f>
        <v>434.88597211000001</v>
      </c>
      <c r="E410" s="71">
        <f ca="1">IFERROR(__xludf.DUMMYFUNCTION("$C404*IMPORTRANGE(""https://docs.google.com/spreadsheets/d/1xsp01RMmkav9iTy39Zaj_7tE9677EGlOJ14KU9TZn7I/"",""2004-2017!T3260"")"),306.682539122)</f>
        <v>306.68253912199998</v>
      </c>
      <c r="F410" s="71">
        <f ca="1">IFERROR(__xludf.DUMMYFUNCTION("$C404*IMPORTRANGE(""https://docs.google.com/spreadsheets/d/1xsp01RMmkav9iTy39Zaj_7tE9677EGlOJ14KU9TZn7I/"",""2004-2017!AC3260"")"),57261.9318007628)</f>
        <v>57261.931800762803</v>
      </c>
      <c r="G410" s="57" t="s">
        <v>8</v>
      </c>
      <c r="K410" s="2"/>
      <c r="L410" s="3"/>
      <c r="M410" s="52"/>
      <c r="N410" s="52"/>
      <c r="O410" s="52"/>
      <c r="P410" s="52"/>
      <c r="Q410" s="2"/>
    </row>
    <row r="411" spans="1:17" ht="13.2" x14ac:dyDescent="0.25">
      <c r="A411" s="88" t="s">
        <v>399</v>
      </c>
      <c r="B411" s="91">
        <v>2388</v>
      </c>
      <c r="C411" s="78">
        <f>347469.9/1000</f>
        <v>347.4699</v>
      </c>
      <c r="D411" s="79">
        <f ca="1">IFERROR(__xludf.DUMMYFUNCTION("$C405*IMPORTRANGE(""https://docs.google.com/spreadsheets/d/1xsp01RMmkav9iTy39Zaj_7tE9677EGlOJ14KU9TZn7I/"",""2004-2017!H3284"")"),318.313700691)</f>
        <v>318.31370069100001</v>
      </c>
      <c r="E411" s="79">
        <f ca="1">IFERROR(__xludf.DUMMYFUNCTION("$C405*IMPORTRANGE(""https://docs.google.com/spreadsheets/d/1xsp01RMmkav9iTy39Zaj_7tE9677EGlOJ14KU9TZn7I/"",""2004-2017!T3284"")"),231.988278735)</f>
        <v>231.98827873499999</v>
      </c>
      <c r="F411" s="79">
        <f ca="1">IFERROR(__xludf.DUMMYFUNCTION("$C405*IMPORTRANGE(""https://docs.google.com/spreadsheets/d/1xsp01RMmkav9iTy39Zaj_7tE9677EGlOJ14KU9TZn7I/"",""2004-2017!AC3284"")"),42278.4011249097)</f>
        <v>42278.401124909702</v>
      </c>
      <c r="G411" s="76" t="s">
        <v>8</v>
      </c>
      <c r="K411" s="2"/>
      <c r="L411" s="3"/>
      <c r="M411" s="52"/>
      <c r="N411" s="52"/>
      <c r="O411" s="52"/>
      <c r="P411" s="52"/>
      <c r="Q411" s="2"/>
    </row>
    <row r="412" spans="1:17" ht="13.2" x14ac:dyDescent="0.25">
      <c r="A412" s="68">
        <v>2016</v>
      </c>
      <c r="B412" s="69"/>
      <c r="C412" s="92"/>
      <c r="D412" s="92"/>
      <c r="E412" s="92"/>
      <c r="F412" s="92"/>
      <c r="G412" s="68"/>
      <c r="K412" s="2"/>
      <c r="L412" s="3"/>
      <c r="M412" s="52"/>
      <c r="N412" s="52"/>
      <c r="O412" s="52"/>
      <c r="P412" s="52"/>
      <c r="Q412" s="2"/>
    </row>
    <row r="413" spans="1:17" ht="13.2" x14ac:dyDescent="0.25">
      <c r="A413" s="86" t="s">
        <v>400</v>
      </c>
      <c r="B413" s="89">
        <v>1657</v>
      </c>
      <c r="C413" s="59">
        <f>168513.9/1000</f>
        <v>168.51390000000001</v>
      </c>
      <c r="D413" s="71">
        <f ca="1">IFERROR(__xludf.DUMMYFUNCTION("$C407*IMPORTRANGE(""https://docs.google.com/spreadsheets/d/1xsp01RMmkav9iTy39Zaj_7tE9677EGlOJ14KU9TZn7I/"",""2004-2017!H3307"")"),155.140636896)</f>
        <v>155.14063689599999</v>
      </c>
      <c r="E413" s="71">
        <f ca="1">IFERROR(__xludf.DUMMYFUNCTION("$C407*IMPORTRANGE(""https://docs.google.com/spreadsheets/d/1xsp01RMmkav9iTy39Zaj_7tE9677EGlOJ14KU9TZn7I/"",""2004-2017!T3307"")"),116.958757434)</f>
        <v>116.95875743400001</v>
      </c>
      <c r="F413" s="71">
        <f ca="1">IFERROR(__xludf.DUMMYFUNCTION("$C407*IMPORTRANGE(""https://docs.google.com/spreadsheets/d/1xsp01RMmkav9iTy39Zaj_7tE9677EGlOJ14KU9TZn7I/"",""2004-2017!AC3307"")"),19918.8490272417)</f>
        <v>19918.8490272417</v>
      </c>
      <c r="G413" s="57" t="s">
        <v>8</v>
      </c>
      <c r="K413" s="2"/>
      <c r="L413" s="3"/>
      <c r="M413" s="52"/>
      <c r="N413" s="52"/>
      <c r="O413" s="52"/>
      <c r="P413" s="52"/>
      <c r="Q413" s="2"/>
    </row>
    <row r="414" spans="1:17" ht="13.2" x14ac:dyDescent="0.25">
      <c r="A414" s="87" t="s">
        <v>401</v>
      </c>
      <c r="B414" s="90">
        <v>1608</v>
      </c>
      <c r="C414" s="74">
        <f>361224.2/1000</f>
        <v>361.2242</v>
      </c>
      <c r="D414" s="75">
        <f ca="1">IFERROR(__xludf.DUMMYFUNCTION("$C408*IMPORTRANGE(""https://docs.google.com/spreadsheets/d/1xsp01RMmkav9iTy39Zaj_7tE9677EGlOJ14KU9TZn7I/"",""2004-2017!H3329"")"),324.755004768)</f>
        <v>324.75500476799999</v>
      </c>
      <c r="E414" s="75">
        <f ca="1">IFERROR(__xludf.DUMMYFUNCTION("$C408*IMPORTRANGE(""https://docs.google.com/spreadsheets/d/1xsp01RMmkav9iTy39Zaj_7tE9677EGlOJ14KU9TZn7I/"",""2004-2017!T3329"")"),250.689594799999)</f>
        <v>250.68959479999901</v>
      </c>
      <c r="F414" s="75">
        <f ca="1">IFERROR(__xludf.DUMMYFUNCTION("$C408*IMPORTRANGE(""https://docs.google.com/spreadsheets/d/1xsp01RMmkav9iTy39Zaj_7tE9677EGlOJ14KU9TZn7I/"",""2004-2017!AC3329"")"),41208.4574584484)</f>
        <v>41208.4574584484</v>
      </c>
      <c r="G414" s="72" t="s">
        <v>8</v>
      </c>
      <c r="K414" s="2"/>
      <c r="L414" s="3"/>
      <c r="M414" s="52"/>
      <c r="N414" s="52"/>
      <c r="O414" s="52"/>
      <c r="P414" s="52"/>
      <c r="Q414" s="2"/>
    </row>
    <row r="415" spans="1:17" ht="13.2" x14ac:dyDescent="0.25">
      <c r="A415" s="86" t="s">
        <v>402</v>
      </c>
      <c r="B415" s="89">
        <v>1696</v>
      </c>
      <c r="C415" s="59">
        <f>202047/1000</f>
        <v>202.047</v>
      </c>
      <c r="D415" s="71">
        <f ca="1">IFERROR(__xludf.DUMMYFUNCTION("$C409*IMPORTRANGE(""https://docs.google.com/spreadsheets/d/1xsp01RMmkav9iTy39Zaj_7tE9677EGlOJ14KU9TZn7I/"",""2004-2017!H3353"")"),180.916924739999)</f>
        <v>180.91692473999899</v>
      </c>
      <c r="E415" s="71">
        <f ca="1">IFERROR(__xludf.DUMMYFUNCTION("$C409*IMPORTRANGE(""https://docs.google.com/spreadsheets/d/1xsp01RMmkav9iTy39Zaj_7tE9677EGlOJ14KU9TZn7I/"",""2004-2017!T3353"")"),142.03702053)</f>
        <v>142.03702053000001</v>
      </c>
      <c r="F415" s="71">
        <f ca="1">IFERROR(__xludf.DUMMYFUNCTION("$C409*IMPORTRANGE(""https://docs.google.com/spreadsheets/d/1xsp01RMmkav9iTy39Zaj_7tE9677EGlOJ14KU9TZn7I/"",""2004-2017!AC3353"")"),22803.024622047)</f>
        <v>22803.024622047</v>
      </c>
      <c r="G415" s="57" t="s">
        <v>8</v>
      </c>
      <c r="K415" s="2"/>
      <c r="L415" s="3"/>
      <c r="M415" s="52"/>
      <c r="N415" s="52"/>
      <c r="O415" s="52"/>
      <c r="P415" s="52"/>
      <c r="Q415" s="2"/>
    </row>
    <row r="416" spans="1:17" ht="13.2" x14ac:dyDescent="0.25">
      <c r="A416" s="87" t="s">
        <v>403</v>
      </c>
      <c r="B416" s="90">
        <v>1589</v>
      </c>
      <c r="C416" s="74">
        <f>181799.4/1000</f>
        <v>181.79939999999999</v>
      </c>
      <c r="D416" s="75">
        <f ca="1">IFERROR(__xludf.DUMMYFUNCTION("$C410*IMPORTRANGE(""https://docs.google.com/spreadsheets/d/1xsp01RMmkav9iTy39Zaj_7tE9677EGlOJ14KU9TZn7I/"",""2004-2017!H3375"")"),160.09255164)</f>
        <v>160.09255164000001</v>
      </c>
      <c r="E416" s="75">
        <f ca="1">IFERROR(__xludf.DUMMYFUNCTION("$C410*IMPORTRANGE(""https://docs.google.com/spreadsheets/d/1xsp01RMmkav9iTy39Zaj_7tE9677EGlOJ14KU9TZn7I/"",""2004-2017!T3375"")"),127.408655508)</f>
        <v>127.408655508</v>
      </c>
      <c r="F416" s="75">
        <f ca="1">IFERROR(__xludf.DUMMYFUNCTION("$C410*IMPORTRANGE(""https://docs.google.com/spreadsheets/d/1xsp01RMmkav9iTy39Zaj_7tE9677EGlOJ14KU9TZn7I/"",""2004-2017!AC3375"")"),19895.5802106024)</f>
        <v>19895.580210602398</v>
      </c>
      <c r="G416" s="72" t="s">
        <v>8</v>
      </c>
      <c r="K416" s="2"/>
      <c r="L416" s="3"/>
      <c r="M416" s="52"/>
      <c r="N416" s="52"/>
      <c r="O416" s="52"/>
      <c r="P416" s="52"/>
      <c r="Q416" s="2"/>
    </row>
    <row r="417" spans="1:17" ht="13.2" x14ac:dyDescent="0.25">
      <c r="A417" s="86" t="s">
        <v>404</v>
      </c>
      <c r="B417" s="89">
        <v>1671</v>
      </c>
      <c r="C417" s="59">
        <f>293814.8/1000</f>
        <v>293.81479999999999</v>
      </c>
      <c r="D417" s="71">
        <f ca="1">IFERROR(__xludf.DUMMYFUNCTION("$C411*IMPORTRANGE(""https://docs.google.com/spreadsheets/d/1xsp01RMmkav9iTy39Zaj_7tE9677EGlOJ14KU9TZn7I/"",""2004-2017!H3398"")"),259.633855242)</f>
        <v>259.63385524199998</v>
      </c>
      <c r="E417" s="71">
        <f ca="1">IFERROR(__xludf.DUMMYFUNCTION("$C411*IMPORTRANGE(""https://docs.google.com/spreadsheets/d/1xsp01RMmkav9iTy39Zaj_7tE9677EGlOJ14KU9TZn7I/"",""2004-2017!T3398"")"),202.632314967999)</f>
        <v>202.63231496799901</v>
      </c>
      <c r="F417" s="71">
        <f ca="1">IFERROR(__xludf.DUMMYFUNCTION("$C411*IMPORTRANGE(""https://docs.google.com/spreadsheets/d/1xsp01RMmkav9iTy39Zaj_7tE9677EGlOJ14KU9TZn7I/"",""2004-2017!AC3398"")"),32052.256532)</f>
        <v>32052.256531999999</v>
      </c>
      <c r="G417" s="57" t="s">
        <v>8</v>
      </c>
      <c r="K417" s="2"/>
      <c r="L417" s="3"/>
      <c r="M417" s="52"/>
      <c r="N417" s="52"/>
      <c r="O417" s="52"/>
      <c r="P417" s="52"/>
      <c r="Q417" s="2"/>
    </row>
    <row r="418" spans="1:17" ht="13.2" x14ac:dyDescent="0.25">
      <c r="A418" s="87" t="s">
        <v>405</v>
      </c>
      <c r="B418" s="90">
        <v>1816</v>
      </c>
      <c r="C418" s="74">
        <f>237940.7/1000</f>
        <v>237.94070000000002</v>
      </c>
      <c r="D418" s="75">
        <f ca="1">IFERROR(__xludf.DUMMYFUNCTION("$C412*IMPORTRANGE(""https://docs.google.com/spreadsheets/d/1xsp01RMmkav9iTy39Zaj_7tE9677EGlOJ14KU9TZn7I/"",""2004-2017!H3421"")"),211.365103217)</f>
        <v>211.36510321700001</v>
      </c>
      <c r="E418" s="75">
        <f ca="1">IFERROR(__xludf.DUMMYFUNCTION("$C412*IMPORTRANGE(""https://docs.google.com/spreadsheets/d/1xsp01RMmkav9iTy39Zaj_7tE9677EGlOJ14KU9TZn7I/"",""2004-2017!T3421"")"),165.0939649915)</f>
        <v>165.0939649915</v>
      </c>
      <c r="F418" s="75">
        <f ca="1">IFERROR(__xludf.DUMMYFUNCTION("$C412*IMPORTRANGE(""https://docs.google.com/spreadsheets/d/1xsp01RMmkav9iTy39Zaj_7tE9677EGlOJ14KU9TZn7I/"",""2004-2017!AC3421"")"),25214.2185920686)</f>
        <v>25214.218592068599</v>
      </c>
      <c r="G418" s="72" t="s">
        <v>8</v>
      </c>
      <c r="K418" s="2"/>
      <c r="L418" s="3"/>
      <c r="M418" s="52"/>
      <c r="N418" s="52"/>
      <c r="O418" s="52"/>
      <c r="P418" s="52"/>
      <c r="Q418" s="2"/>
    </row>
    <row r="419" spans="1:17" ht="13.2" x14ac:dyDescent="0.25">
      <c r="A419" s="86" t="s">
        <v>406</v>
      </c>
      <c r="B419" s="89">
        <v>1685</v>
      </c>
      <c r="C419" s="59">
        <f>227608.8/1000</f>
        <v>227.6088</v>
      </c>
      <c r="D419" s="71">
        <f ca="1">IFERROR(__xludf.DUMMYFUNCTION("$C413*IMPORTRANGE(""https://docs.google.com/spreadsheets/d/1xsp01RMmkav9iTy39Zaj_7tE9677EGlOJ14KU9TZn7I/"",""2004-2017!H3443"")"),205.701453)</f>
        <v>205.70145299999999</v>
      </c>
      <c r="E419" s="71">
        <f ca="1">IFERROR(__xludf.DUMMYFUNCTION("$C413*IMPORTRANGE(""https://docs.google.com/spreadsheets/d/1xsp01RMmkav9iTy39Zaj_7tE9677EGlOJ14KU9TZn7I/"",""2004-2017!T3443"")"),172.930337975999)</f>
        <v>172.93033797599901</v>
      </c>
      <c r="F419" s="71">
        <f ca="1">IFERROR(__xludf.DUMMYFUNCTION("$C413*IMPORTRANGE(""https://docs.google.com/spreadsheets/d/1xsp01RMmkav9iTy39Zaj_7tE9677EGlOJ14KU9TZn7I/"",""2004-2017!AC3443"")"),23843.3867699736)</f>
        <v>23843.3867699736</v>
      </c>
      <c r="G419" s="57" t="s">
        <v>8</v>
      </c>
      <c r="K419" s="2"/>
      <c r="L419" s="3"/>
      <c r="M419" s="52"/>
      <c r="N419" s="52"/>
      <c r="O419" s="52"/>
      <c r="P419" s="52"/>
      <c r="Q419" s="2"/>
    </row>
    <row r="420" spans="1:17" ht="13.2" x14ac:dyDescent="0.25">
      <c r="A420" s="87" t="s">
        <v>407</v>
      </c>
      <c r="B420" s="90">
        <v>1576</v>
      </c>
      <c r="C420" s="74">
        <f>164777.2/1000</f>
        <v>164.77720000000002</v>
      </c>
      <c r="D420" s="75">
        <f ca="1">IFERROR(__xludf.DUMMYFUNCTION("$C414*IMPORTRANGE(""https://docs.google.com/spreadsheets/d/1xsp01RMmkav9iTy39Zaj_7tE9677EGlOJ14KU9TZn7I/"",""2004-2017!H3467"")"),147.300930168)</f>
        <v>147.30093016800001</v>
      </c>
      <c r="E420" s="75">
        <f ca="1">IFERROR(__xludf.DUMMYFUNCTION("$C414*IMPORTRANGE(""https://docs.google.com/spreadsheets/d/1xsp01RMmkav9iTy39Zaj_7tE9677EGlOJ14KU9TZn7I/"",""2004-2017!T3467"")"),125.70852588)</f>
        <v>125.70852588</v>
      </c>
      <c r="F420" s="75">
        <f ca="1">IFERROR(__xludf.DUMMYFUNCTION("$C414*IMPORTRANGE(""https://docs.google.com/spreadsheets/d/1xsp01RMmkav9iTy39Zaj_7tE9677EGlOJ14KU9TZn7I/"",""2004-2017!AC3467"")"),16682.0433984456)</f>
        <v>16682.043398445599</v>
      </c>
      <c r="G420" s="72" t="s">
        <v>8</v>
      </c>
      <c r="K420" s="2"/>
      <c r="L420" s="3"/>
      <c r="M420" s="52"/>
      <c r="N420" s="52"/>
      <c r="O420" s="52"/>
      <c r="P420" s="52"/>
      <c r="Q420" s="2"/>
    </row>
    <row r="421" spans="1:17" ht="13.2" x14ac:dyDescent="0.25">
      <c r="A421" s="86" t="s">
        <v>408</v>
      </c>
      <c r="B421" s="89">
        <v>1766</v>
      </c>
      <c r="C421" s="59">
        <f>279894.4/1000</f>
        <v>279.89440000000002</v>
      </c>
      <c r="D421" s="71">
        <f ca="1">IFERROR(__xludf.DUMMYFUNCTION("$C415*IMPORTRANGE(""https://docs.google.com/spreadsheets/d/1xsp01RMmkav9iTy39Zaj_7tE9677EGlOJ14KU9TZn7I/"",""2004-2017!H3490"")"),249.46987872)</f>
        <v>249.46987872</v>
      </c>
      <c r="E421" s="71">
        <f ca="1">IFERROR(__xludf.DUMMYFUNCTION("$C415*IMPORTRANGE(""https://docs.google.com/spreadsheets/d/1xsp01RMmkav9iTy39Zaj_7tE9677EGlOJ14KU9TZn7I/"",""2004-2017!T3490"")"),212.62178096)</f>
        <v>212.62178096</v>
      </c>
      <c r="F421" s="71">
        <f ca="1">IFERROR(__xludf.DUMMYFUNCTION("$C415*IMPORTRANGE(""https://docs.google.com/spreadsheets/d/1xsp01RMmkav9iTy39Zaj_7tE9677EGlOJ14KU9TZn7I/"",""2004-2017!AC3490"")"),28503.7463798416)</f>
        <v>28503.746379841599</v>
      </c>
      <c r="G421" s="57" t="s">
        <v>8</v>
      </c>
      <c r="K421" s="2"/>
      <c r="L421" s="3"/>
      <c r="M421" s="52"/>
      <c r="N421" s="52"/>
      <c r="O421" s="52"/>
      <c r="P421" s="52"/>
      <c r="Q421" s="2"/>
    </row>
    <row r="422" spans="1:17" ht="13.2" x14ac:dyDescent="0.25">
      <c r="A422" s="87" t="s">
        <v>409</v>
      </c>
      <c r="B422" s="90">
        <v>1702</v>
      </c>
      <c r="C422" s="74">
        <f>379400.2/1000</f>
        <v>379.40019999999998</v>
      </c>
      <c r="D422" s="75">
        <f ca="1">IFERROR(__xludf.DUMMYFUNCTION("$C416*IMPORTRANGE(""https://docs.google.com/spreadsheets/d/1xsp01RMmkav9iTy39Zaj_7tE9677EGlOJ14KU9TZn7I/"",""2004-2017!H3512"")"),344.537115622)</f>
        <v>344.53711562199999</v>
      </c>
      <c r="E422" s="75">
        <f ca="1">IFERROR(__xludf.DUMMYFUNCTION("$C416*IMPORTRANGE(""https://docs.google.com/spreadsheets/d/1xsp01RMmkav9iTy39Zaj_7tE9677EGlOJ14KU9TZn7I/"",""2004-2017!T3512"")"),309.552623179999)</f>
        <v>309.55262317999899</v>
      </c>
      <c r="F422" s="75">
        <f ca="1">IFERROR(__xludf.DUMMYFUNCTION("$C416*IMPORTRANGE(""https://docs.google.com/spreadsheets/d/1xsp01RMmkav9iTy39Zaj_7tE9677EGlOJ14KU9TZn7I/"",""2004-2017!AC3512"")"),39401.0894113996)</f>
        <v>39401.089411399596</v>
      </c>
      <c r="G422" s="72" t="s">
        <v>8</v>
      </c>
      <c r="K422" s="2"/>
      <c r="L422" s="3"/>
      <c r="M422" s="52"/>
      <c r="N422" s="52"/>
      <c r="O422" s="52"/>
      <c r="P422" s="52"/>
      <c r="Q422" s="2"/>
    </row>
    <row r="423" spans="1:17" ht="13.2" x14ac:dyDescent="0.25">
      <c r="A423" s="86" t="s">
        <v>410</v>
      </c>
      <c r="B423" s="89">
        <v>1790</v>
      </c>
      <c r="C423" s="59">
        <f>222432.7/1000</f>
        <v>222.43270000000001</v>
      </c>
      <c r="D423" s="71">
        <f ca="1">IFERROR(__xludf.DUMMYFUNCTION("$C417*IMPORTRANGE(""https://docs.google.com/spreadsheets/d/1xsp01RMmkav9iTy39Zaj_7tE9677EGlOJ14KU9TZn7I/"",""2004-2017!H3535"")"),207.12933024)</f>
        <v>207.12933024</v>
      </c>
      <c r="E423" s="71">
        <f ca="1">IFERROR(__xludf.DUMMYFUNCTION("$C417*IMPORTRANGE(""https://docs.google.com/spreadsheets/d/1xsp01RMmkav9iTy39Zaj_7tE9677EGlOJ14KU9TZn7I/"",""2004-2017!T3535"")"),178.8358908)</f>
        <v>178.83589079999999</v>
      </c>
      <c r="F423" s="71">
        <f ca="1">IFERROR(__xludf.DUMMYFUNCTION("$C417*IMPORTRANGE(""https://docs.google.com/spreadsheets/d/1xsp01RMmkav9iTy39Zaj_7tE9677EGlOJ14KU9TZn7I/"",""2004-2017!AC3535"")"),24132.5029159644)</f>
        <v>24132.5029159644</v>
      </c>
      <c r="G423" s="57" t="s">
        <v>8</v>
      </c>
      <c r="K423" s="2"/>
      <c r="L423" s="3"/>
      <c r="M423" s="52"/>
      <c r="N423" s="52"/>
      <c r="O423" s="52"/>
      <c r="P423" s="52"/>
      <c r="Q423" s="2"/>
    </row>
    <row r="424" spans="1:17" ht="13.2" x14ac:dyDescent="0.25">
      <c r="A424" s="88" t="s">
        <v>411</v>
      </c>
      <c r="B424" s="91">
        <v>2219</v>
      </c>
      <c r="C424" s="78">
        <f>243450.4/1000</f>
        <v>243.4504</v>
      </c>
      <c r="D424" s="79">
        <f ca="1">IFERROR(__xludf.DUMMYFUNCTION("$C418*IMPORTRANGE(""https://docs.google.com/spreadsheets/d/1xsp01RMmkav9iTy39Zaj_7tE9677EGlOJ14KU9TZn7I/"",""2004-2017!H3558"")"),231.18049984)</f>
        <v>231.18049984000001</v>
      </c>
      <c r="E424" s="79">
        <f ca="1">IFERROR(__xludf.DUMMYFUNCTION("$C418*IMPORTRANGE(""https://docs.google.com/spreadsheets/d/1xsp01RMmkav9iTy39Zaj_7tE9677EGlOJ14KU9TZn7I/"",""2004-2017!T3558"")"),194.71162992)</f>
        <v>194.71162992000001</v>
      </c>
      <c r="F424" s="79">
        <f ca="1">IFERROR(__xludf.DUMMYFUNCTION("$C418*IMPORTRANGE(""https://docs.google.com/spreadsheets/d/1xsp01RMmkav9iTy39Zaj_7tE9677EGlOJ14KU9TZn7I/"",""2004-2017!AC3558"")"),28398.9761825252)</f>
        <v>28398.976182525199</v>
      </c>
      <c r="G424" s="76" t="s">
        <v>8</v>
      </c>
      <c r="K424" s="2"/>
      <c r="L424" s="3"/>
      <c r="M424" s="52"/>
      <c r="N424" s="52"/>
      <c r="O424" s="52"/>
      <c r="P424" s="52"/>
      <c r="Q424" s="2"/>
    </row>
    <row r="425" spans="1:17" ht="13.2" x14ac:dyDescent="0.25">
      <c r="A425" s="68">
        <v>2017</v>
      </c>
      <c r="B425" s="69"/>
      <c r="C425" s="92"/>
      <c r="D425" s="92"/>
      <c r="E425" s="92"/>
      <c r="F425" s="92"/>
      <c r="G425" s="68"/>
      <c r="K425" s="2"/>
      <c r="L425" s="3"/>
      <c r="M425" s="52"/>
      <c r="N425" s="52"/>
      <c r="O425" s="52"/>
      <c r="P425" s="52"/>
      <c r="Q425" s="2"/>
    </row>
    <row r="426" spans="1:17" ht="13.2" x14ac:dyDescent="0.25">
      <c r="A426" s="86" t="s">
        <v>412</v>
      </c>
      <c r="B426" s="89">
        <v>1792</v>
      </c>
      <c r="C426" s="59">
        <f>216893.9/1000</f>
        <v>216.8939</v>
      </c>
      <c r="D426" s="71">
        <f ca="1">IFERROR(__xludf.DUMMYFUNCTION("$C420*IMPORTRANGE(""https://docs.google.com/spreadsheets/d/1xsp01RMmkav9iTy39Zaj_7tE9677EGlOJ14KU9TZn7I/"",""2004-2017!H3582"")"),204.1871708685)</f>
        <v>204.1871708685</v>
      </c>
      <c r="E426" s="71">
        <f ca="1">IFERROR(__xludf.DUMMYFUNCTION("$C420*IMPORTRANGE(""https://docs.google.com/spreadsheets/d/1xsp01RMmkav9iTy39Zaj_7tE9677EGlOJ14KU9TZn7I/"",""2004-2017!T3582"")"),175.870587753999)</f>
        <v>175.87058775399899</v>
      </c>
      <c r="F426" s="71">
        <f ca="1">IFERROR(__xludf.DUMMYFUNCTION("$C420*IMPORTRANGE(""https://docs.google.com/spreadsheets/d/1xsp01RMmkav9iTy39Zaj_7tE9677EGlOJ14KU9TZn7I/"",""2004-2017!AC3582"")"),24880.9837385)</f>
        <v>24880.983738499999</v>
      </c>
      <c r="G426" s="57" t="s">
        <v>8</v>
      </c>
      <c r="K426" s="2"/>
      <c r="L426" s="3"/>
      <c r="M426" s="52"/>
      <c r="N426" s="52"/>
      <c r="O426" s="52"/>
      <c r="P426" s="52"/>
      <c r="Q426" s="2"/>
    </row>
    <row r="427" spans="1:17" ht="13.2" x14ac:dyDescent="0.25">
      <c r="A427" s="87" t="s">
        <v>413</v>
      </c>
      <c r="B427" s="90">
        <v>1559</v>
      </c>
      <c r="C427" s="74">
        <f>191594.4/1000</f>
        <v>191.59440000000001</v>
      </c>
      <c r="D427" s="75">
        <f ca="1">IFERROR(__xludf.DUMMYFUNCTION("$C421*IMPORTRANGE(""https://docs.google.com/spreadsheets/d/1xsp01RMmkav9iTy39Zaj_7tE9677EGlOJ14KU9TZn7I/"",""2004-2017!h3603"")"),180.356430468)</f>
        <v>180.35643046800001</v>
      </c>
      <c r="E427" s="75">
        <f ca="1">IFERROR(__xludf.DUMMYFUNCTION("$C421*IMPORTRANGE(""https://docs.google.com/spreadsheets/d/1xsp01RMmkav9iTy39Zaj_7tE9677EGlOJ14KU9TZn7I/"",""2004-2017!T3603"")"),153.449870904)</f>
        <v>153.44987090399999</v>
      </c>
      <c r="F427" s="75">
        <f ca="1">IFERROR(__xludf.DUMMYFUNCTION("$C421*IMPORTRANGE(""https://docs.google.com/spreadsheets/d/1xsp01RMmkav9iTy39Zaj_7tE9677EGlOJ14KU9TZn7I/"",""2004-2017!AC3603"")"),21668.4646567944)</f>
        <v>21668.4646567944</v>
      </c>
      <c r="G427" s="72" t="s">
        <v>8</v>
      </c>
      <c r="K427" s="2"/>
      <c r="L427" s="3"/>
      <c r="M427" s="52"/>
      <c r="N427" s="52"/>
      <c r="O427" s="52"/>
      <c r="P427" s="52"/>
      <c r="Q427" s="2"/>
    </row>
    <row r="428" spans="1:17" ht="13.2" x14ac:dyDescent="0.25">
      <c r="A428" s="86" t="s">
        <v>414</v>
      </c>
      <c r="B428" s="89">
        <v>1821</v>
      </c>
      <c r="C428" s="59">
        <f>226195.1/1000</f>
        <v>226.1951</v>
      </c>
      <c r="D428" s="71">
        <f ca="1">IFERROR(__xludf.DUMMYFUNCTION("$C422*IMPORTRANGE(""https://docs.google.com/spreadsheets/d/1xsp01RMmkav9iTy39Zaj_7tE9677EGlOJ14KU9TZn7I/"",""2004-2017!H3627"")"),211.594206295)</f>
        <v>211.59420629499999</v>
      </c>
      <c r="E428" s="71">
        <f ca="1">IFERROR(__xludf.DUMMYFUNCTION("$C422*IMPORTRANGE(""https://docs.google.com/spreadsheets/d/1xsp01RMmkav9iTy39Zaj_7tE9677EGlOJ14KU9TZn7I/"",""2004-2017!T3627"")"),183.136600764)</f>
        <v>183.13660076400001</v>
      </c>
      <c r="F428" s="71">
        <f ca="1">IFERROR(__xludf.DUMMYFUNCTION("$C422*IMPORTRANGE(""https://docs.google.com/spreadsheets/d/1xsp01RMmkav9iTy39Zaj_7tE9677EGlOJ14KU9TZn7I/"",""2004-2017!AC3627"")"),25636.9517292196)</f>
        <v>25636.9517292196</v>
      </c>
      <c r="G428" s="57" t="s">
        <v>8</v>
      </c>
      <c r="K428" s="2"/>
      <c r="L428" s="3"/>
      <c r="M428" s="52"/>
      <c r="N428" s="52"/>
      <c r="O428" s="52"/>
      <c r="P428" s="52"/>
      <c r="Q428" s="2"/>
    </row>
    <row r="429" spans="1:17" ht="13.2" x14ac:dyDescent="0.25">
      <c r="A429" s="87" t="s">
        <v>415</v>
      </c>
      <c r="B429" s="90">
        <v>1528</v>
      </c>
      <c r="C429" s="74">
        <f>198180.4/1000</f>
        <v>198.18039999999999</v>
      </c>
      <c r="D429" s="75">
        <f ca="1">IFERROR(__xludf.DUMMYFUNCTION("$C423*IMPORTRANGE(""https://docs.google.com/spreadsheets/d/1xsp01RMmkav9iTy39Zaj_7tE9677EGlOJ14KU9TZn7I/"",""2004-2017!H3648"")"),185.708907428)</f>
        <v>185.708907428</v>
      </c>
      <c r="E429" s="75">
        <f ca="1">IFERROR(__xludf.DUMMYFUNCTION("$C423*IMPORTRANGE(""https://docs.google.com/spreadsheets/d/1xsp01RMmkav9iTy39Zaj_7tE9677EGlOJ14KU9TZn7I/"",""2004-2017!T3648"")"),157.971578644)</f>
        <v>157.971578644</v>
      </c>
      <c r="F429" s="75">
        <f ca="1">IFERROR(__xludf.DUMMYFUNCTION("$C423*IMPORTRANGE(""https://docs.google.com/spreadsheets/d/1xsp01RMmkav9iTy39Zaj_7tE9677EGlOJ14KU9TZn7I/"",""2004-2017!AC3648"")"),21835.4167872587)</f>
        <v>21835.416787258699</v>
      </c>
      <c r="G429" s="72" t="s">
        <v>8</v>
      </c>
      <c r="K429" s="2"/>
      <c r="L429" s="3"/>
      <c r="M429" s="52"/>
      <c r="N429" s="52"/>
      <c r="O429" s="52"/>
      <c r="P429" s="52"/>
      <c r="Q429" s="2"/>
    </row>
    <row r="430" spans="1:17" ht="13.2" x14ac:dyDescent="0.25">
      <c r="A430" s="86" t="s">
        <v>416</v>
      </c>
      <c r="B430" s="89">
        <v>1668</v>
      </c>
      <c r="C430" s="59">
        <f>215519.1/1000</f>
        <v>215.51910000000001</v>
      </c>
      <c r="D430" s="71">
        <f ca="1">IFERROR(__xludf.DUMMYFUNCTION("$C424*IMPORTRANGE(""https://docs.google.com/spreadsheets/d/1xsp01RMmkav9iTy39Zaj_7tE9677EGlOJ14KU9TZn7I/"",""2004-2017!H3672"")"),196.25169246)</f>
        <v>196.25169245999999</v>
      </c>
      <c r="E430" s="71">
        <f ca="1">IFERROR(__xludf.DUMMYFUNCTION("$C424*IMPORTRANGE(""https://docs.google.com/spreadsheets/d/1xsp01RMmkav9iTy39Zaj_7tE9677EGlOJ14KU9TZn7I/"",""2004-2017!T3672"")"),166.66092003)</f>
        <v>166.66092003</v>
      </c>
      <c r="F430" s="71">
        <f ca="1">IFERROR(__xludf.DUMMYFUNCTION("$C424*IMPORTRANGE(""https://docs.google.com/spreadsheets/d/1xsp01RMmkav9iTy39Zaj_7tE9677EGlOJ14KU9TZn7I/"",""2004-2017!AC3672"")"),24128.8720942191)</f>
        <v>24128.872094219099</v>
      </c>
      <c r="G430" s="57" t="s">
        <v>8</v>
      </c>
      <c r="K430" s="2"/>
      <c r="L430" s="3"/>
      <c r="M430" s="52"/>
      <c r="N430" s="52"/>
      <c r="O430" s="52"/>
      <c r="P430" s="52"/>
      <c r="Q430" s="2"/>
    </row>
    <row r="431" spans="1:17" ht="13.2" x14ac:dyDescent="0.25">
      <c r="A431" s="87" t="s">
        <v>417</v>
      </c>
      <c r="B431" s="90">
        <v>1754</v>
      </c>
      <c r="C431" s="74">
        <f>217786.6/1000</f>
        <v>217.78659999999999</v>
      </c>
      <c r="D431" s="75">
        <f ca="1">IFERROR(__xludf.DUMMYFUNCTION("$C425*IMPORTRANGE(""https://docs.google.com/spreadsheets/d/1xsp01RMmkav9iTy39Zaj_7tE9677EGlOJ14KU9TZn7I/"",""2004-2017!H3695"")"),194.303759854999)</f>
        <v>194.30375985499899</v>
      </c>
      <c r="E431" s="75">
        <f ca="1">IFERROR(__xludf.DUMMYFUNCTION("$C425*IMPORTRANGE(""https://docs.google.com/spreadsheets/d/1xsp01RMmkav9iTy39Zaj_7tE9677EGlOJ14KU9TZn7I/"",""2004-2017!T3695"")"),170.727271471999)</f>
        <v>170.72727147199899</v>
      </c>
      <c r="F431" s="75">
        <f ca="1">IFERROR(__xludf.DUMMYFUNCTION("$C425*IMPORTRANGE(""https://docs.google.com/spreadsheets/d/1xsp01RMmkav9iTy39Zaj_7tE9677EGlOJ14KU9TZn7I/"",""2004-2017!AC3695"")"),24164.0771742665)</f>
        <v>24164.077174266498</v>
      </c>
      <c r="G431" s="72" t="s">
        <v>8</v>
      </c>
      <c r="K431" s="2"/>
      <c r="L431" s="3"/>
      <c r="M431" s="52"/>
      <c r="N431" s="52"/>
      <c r="O431" s="52"/>
      <c r="P431" s="52"/>
      <c r="Q431" s="2"/>
    </row>
    <row r="432" spans="1:17" ht="13.2" x14ac:dyDescent="0.25">
      <c r="A432" s="86" t="s">
        <v>418</v>
      </c>
      <c r="B432" s="89">
        <v>1784</v>
      </c>
      <c r="C432" s="59">
        <f>236015.4/1000</f>
        <v>236.0154</v>
      </c>
      <c r="D432" s="71">
        <f ca="1">IFERROR(__xludf.DUMMYFUNCTION("$C426*IMPORTRANGE(""https://docs.google.com/spreadsheets/d/1xsp01RMmkav9iTy39Zaj_7tE9677EGlOJ14KU9TZn7I/"",""2004-2017!H3717"")"),205.680340638)</f>
        <v>205.68034063799999</v>
      </c>
      <c r="E432" s="71">
        <f ca="1">IFERROR(__xludf.DUMMYFUNCTION("$C426*IMPORTRANGE(""https://docs.google.com/spreadsheets/d/1xsp01RMmkav9iTy39Zaj_7tE9677EGlOJ14KU9TZn7I/"",""2004-2017!T3717"")"),181.402616516999)</f>
        <v>181.40261651699899</v>
      </c>
      <c r="F432" s="71">
        <f ca="1">IFERROR(__xludf.DUMMYFUNCTION("$C426*IMPORTRANGE(""https://docs.google.com/spreadsheets/d/1xsp01RMmkav9iTy39Zaj_7tE9677EGlOJ14KU9TZn7I/"",""2004-2017!AC3717"")"),26511.4923463307)</f>
        <v>26511.492346330699</v>
      </c>
      <c r="G432" s="57" t="s">
        <v>8</v>
      </c>
      <c r="K432" s="2"/>
      <c r="L432" s="3"/>
      <c r="M432" s="52"/>
      <c r="N432" s="52"/>
      <c r="O432" s="52"/>
      <c r="P432" s="52"/>
      <c r="Q432" s="2"/>
    </row>
    <row r="433" spans="1:17" ht="13.2" x14ac:dyDescent="0.25">
      <c r="A433" s="87" t="s">
        <v>419</v>
      </c>
      <c r="B433" s="90">
        <v>1595</v>
      </c>
      <c r="C433" s="74">
        <f>183098.8/1000</f>
        <v>183.09879999999998</v>
      </c>
      <c r="D433" s="75">
        <f ca="1">IFERROR(__xludf.DUMMYFUNCTION("$C427*IMPORTRANGE(""https://docs.google.com/spreadsheets/d/1xsp01RMmkav9iTy39Zaj_7tE9677EGlOJ14KU9TZn7I/"",""2004-2017!H3741"")"),155.13961324)</f>
        <v>155.13961323999999</v>
      </c>
      <c r="E433" s="75">
        <f ca="1">IFERROR(__xludf.DUMMYFUNCTION("$C427*IMPORTRANGE(""https://docs.google.com/spreadsheets/d/1xsp01RMmkav9iTy39Zaj_7tE9677EGlOJ14KU9TZn7I/"",""2004-2017!T3741"")"),141.639738715999)</f>
        <v>141.63973871599899</v>
      </c>
      <c r="F433" s="75">
        <f ca="1">IFERROR(__xludf.DUMMYFUNCTION("$C427*IMPORTRANGE(""https://docs.google.com/spreadsheets/d/1xsp01RMmkav9iTy39Zaj_7tE9677EGlOJ14KU9TZn7I/"",""2004-2017!AC3741"")"),20122.5584861976)</f>
        <v>20122.558486197599</v>
      </c>
      <c r="G433" s="72" t="s">
        <v>8</v>
      </c>
      <c r="K433" s="2"/>
      <c r="L433" s="3"/>
      <c r="M433" s="52"/>
      <c r="N433" s="52"/>
      <c r="O433" s="52"/>
      <c r="P433" s="52"/>
      <c r="Q433" s="2"/>
    </row>
    <row r="434" spans="1:17" ht="13.2" x14ac:dyDescent="0.25">
      <c r="A434" s="86" t="s">
        <v>420</v>
      </c>
      <c r="B434" s="89">
        <v>1572</v>
      </c>
      <c r="C434" s="59">
        <f>177115/1000</f>
        <v>177.11500000000001</v>
      </c>
      <c r="D434" s="71">
        <f ca="1">IFERROR(__xludf.DUMMYFUNCTION("$C428*IMPORTRANGE(""https://docs.google.com/spreadsheets/d/1xsp01RMmkav9iTy39Zaj_7tE9677EGlOJ14KU9TZn7I/"",""2004-2017!H3763"")"),148.5357236)</f>
        <v>148.53572360000001</v>
      </c>
      <c r="E434" s="71">
        <f ca="1">IFERROR(__xludf.DUMMYFUNCTION("$C428*IMPORTRANGE(""https://docs.google.com/spreadsheets/d/1xsp01RMmkav9iTy39Zaj_7tE9677EGlOJ14KU9TZn7I/"",""2004-2017!T3763"")"),132.18623795)</f>
        <v>132.18623794999999</v>
      </c>
      <c r="F434" s="71">
        <f ca="1">IFERROR(__xludf.DUMMYFUNCTION("$C428*IMPORTRANGE(""https://docs.google.com/spreadsheets/d/1xsp01RMmkav9iTy39Zaj_7tE9677EGlOJ14KU9TZn7I/"",""2004-2017!AC3763"")"),19573.864047885)</f>
        <v>19573.864047884999</v>
      </c>
      <c r="G434" s="57" t="s">
        <v>8</v>
      </c>
      <c r="K434" s="2"/>
      <c r="L434" s="3"/>
      <c r="M434" s="52"/>
      <c r="N434" s="52"/>
      <c r="O434" s="52"/>
      <c r="P434" s="52"/>
      <c r="Q434" s="2"/>
    </row>
    <row r="435" spans="1:17" ht="13.2" x14ac:dyDescent="0.25">
      <c r="A435" s="87" t="s">
        <v>421</v>
      </c>
      <c r="B435" s="90">
        <v>1675</v>
      </c>
      <c r="C435" s="74">
        <f>229584.9/1000</f>
        <v>229.5849</v>
      </c>
      <c r="D435" s="75">
        <f ca="1">IFERROR(__xludf.DUMMYFUNCTION("$C429*IMPORTRANGE(""https://docs.google.com/spreadsheets/d/1xsp01RMmkav9iTy39Zaj_7tE9677EGlOJ14KU9TZn7I/"",""2004-2017!H3786"")"),195.2401468845)</f>
        <v>195.24014688450001</v>
      </c>
      <c r="E435" s="75">
        <f ca="1">IFERROR(__xludf.DUMMYFUNCTION("$C429*IMPORTRANGE(""https://docs.google.com/spreadsheets/d/1xsp01RMmkav9iTy39Zaj_7tE9677EGlOJ14KU9TZn7I/"",""2004-2017!T3786"")"),173.772810809999)</f>
        <v>173.77281080999899</v>
      </c>
      <c r="F435" s="75">
        <f ca="1">IFERROR(__xludf.DUMMYFUNCTION("$C429*IMPORTRANGE(""https://docs.google.com/spreadsheets/d/1xsp01RMmkav9iTy39Zaj_7tE9677EGlOJ14KU9TZn7I/"",""2004-2017!AC3786"")"),25890.7482280075)</f>
        <v>25890.748228007498</v>
      </c>
      <c r="G435" s="72" t="s">
        <v>8</v>
      </c>
      <c r="K435" s="2"/>
      <c r="L435" s="3"/>
      <c r="M435" s="52"/>
      <c r="N435" s="52"/>
      <c r="O435" s="52"/>
      <c r="P435" s="52"/>
      <c r="Q435" s="2"/>
    </row>
    <row r="436" spans="1:17" ht="13.2" x14ac:dyDescent="0.25">
      <c r="A436" s="86" t="s">
        <v>422</v>
      </c>
      <c r="B436" s="89">
        <v>1755</v>
      </c>
      <c r="C436" s="59">
        <f>329587.2/1000</f>
        <v>329.5872</v>
      </c>
      <c r="D436" s="71">
        <f ca="1">IFERROR(__xludf.DUMMYFUNCTION("$C430*IMPORTRANGE(""https://docs.google.com/spreadsheets/d/1xsp01RMmkav9iTy39Zaj_7tE9677EGlOJ14KU9TZn7I/"",""2004-2017!H3809"")"),280.933537536)</f>
        <v>280.93353753600002</v>
      </c>
      <c r="E436" s="71">
        <f ca="1">IFERROR(__xludf.DUMMYFUNCTION("$C430*IMPORTRANGE(""https://docs.google.com/spreadsheets/d/1xsp01RMmkav9iTy39Zaj_7tE9677EGlOJ14KU9TZn7I/"",""2004-2017!T3809"")"),249.635937024)</f>
        <v>249.63593702399999</v>
      </c>
      <c r="F436" s="71">
        <f ca="1">IFERROR(__xludf.DUMMYFUNCTION("$C430*IMPORTRANGE(""https://docs.google.com/spreadsheets/d/1xsp01RMmkav9iTy39Zaj_7tE9677EGlOJ14KU9TZn7I/"",""2004-2017!AC3809"")"),37366.9488)</f>
        <v>37366.948799999998</v>
      </c>
      <c r="G436" s="57" t="s">
        <v>8</v>
      </c>
      <c r="K436" s="2"/>
      <c r="L436" s="3"/>
      <c r="M436" s="52"/>
      <c r="N436" s="52"/>
      <c r="O436" s="52"/>
      <c r="P436" s="52"/>
      <c r="Q436" s="2"/>
    </row>
    <row r="437" spans="1:17" ht="13.2" x14ac:dyDescent="0.25">
      <c r="A437" s="88" t="s">
        <v>423</v>
      </c>
      <c r="B437" s="91">
        <v>1945</v>
      </c>
      <c r="C437" s="78">
        <f>403390.6/1000</f>
        <v>403.39059999999995</v>
      </c>
      <c r="D437" s="79">
        <f ca="1">IFERROR(__xludf.DUMMYFUNCTION("$C431*IMPORTRANGE(""https://docs.google.com/spreadsheets/d/1xsp01RMmkav9iTy39Zaj_7tE9677EGlOJ14KU9TZn7I/"",""2004-2017!H3831"")"),340.6633617)</f>
        <v>340.6633617</v>
      </c>
      <c r="E437" s="79">
        <f ca="1">IFERROR(__xludf.DUMMYFUNCTION("$C431*IMPORTRANGE(""https://docs.google.com/spreadsheets/d/1xsp01RMmkav9iTy39Zaj_7tE9677EGlOJ14KU9TZn7I/"",""2004-2017!T3831"")"),301.215794925999)</f>
        <v>301.21579492599898</v>
      </c>
      <c r="F437" s="79">
        <f ca="1">IFERROR(__xludf.DUMMYFUNCTION("$C431*IMPORTRANGE(""https://docs.google.com/spreadsheets/d/1xsp01RMmkav9iTy39Zaj_7tE9677EGlOJ14KU9TZn7I/"",""2004-2017!AC3831"")"),45576.2809665811)</f>
        <v>45576.2809665811</v>
      </c>
      <c r="G437" s="76" t="s">
        <v>8</v>
      </c>
      <c r="K437" s="2"/>
      <c r="L437" s="3"/>
      <c r="M437" s="52"/>
      <c r="N437" s="52"/>
      <c r="O437" s="52"/>
      <c r="P437" s="52"/>
      <c r="Q437" s="2"/>
    </row>
    <row r="438" spans="1:17" ht="13.2" x14ac:dyDescent="0.25">
      <c r="A438" s="68">
        <v>2018</v>
      </c>
      <c r="B438" s="69"/>
      <c r="C438" s="92"/>
      <c r="D438" s="92"/>
      <c r="E438" s="92"/>
      <c r="F438" s="92"/>
      <c r="G438" s="68"/>
      <c r="K438" s="2"/>
      <c r="L438" s="3"/>
      <c r="M438" s="52"/>
      <c r="N438" s="52" t="s">
        <v>424</v>
      </c>
      <c r="O438" s="52"/>
      <c r="P438" s="52"/>
      <c r="Q438" s="2"/>
    </row>
    <row r="439" spans="1:17" ht="13.2" x14ac:dyDescent="0.25">
      <c r="A439" s="93">
        <v>43118</v>
      </c>
      <c r="B439" s="89">
        <v>1795</v>
      </c>
      <c r="C439" s="59">
        <f>250636.4/1000</f>
        <v>250.63639999999998</v>
      </c>
      <c r="D439" s="94">
        <f ca="1">IFERROR(__xludf.DUMMYFUNCTION("C433*IMPORTRANGE(""https://docs.google.com/spreadsheets/d/1xsp01RMmkav9iTy39Zaj_7tE9677EGlOJ14KU9TZn7I"",""H25"")"),205.569468915999)</f>
        <v>205.56946891599901</v>
      </c>
      <c r="E439" s="94">
        <f ca="1">IFERROR(__xludf.DUMMYFUNCTION("C433*IMPORTRANGE(""https://docs.google.com/spreadsheets/d/1xsp01RMmkav9iTy39Zaj_7tE9677EGlOJ14KU9TZn7I/"",""T25"")"),181.643718171999)</f>
        <v>181.64371817199901</v>
      </c>
      <c r="F439" s="94">
        <f ca="1">IFERROR(__xludf.DUMMYFUNCTION("C433*IMPORTRANGE(""https://docs.google.com/spreadsheets/d/1xsp01RMmkav9iTy39Zaj_7tE9677EGlOJ14KU9TZn7I"",""AC25"")"),27845.7040399999)</f>
        <v>27845.704039999899</v>
      </c>
      <c r="G439" s="57" t="s">
        <v>8</v>
      </c>
      <c r="K439" s="51"/>
      <c r="L439" s="3"/>
      <c r="M439" s="52"/>
      <c r="N439" s="52"/>
      <c r="O439" s="52"/>
      <c r="P439" s="52"/>
      <c r="Q439" s="2"/>
    </row>
    <row r="440" spans="1:17" ht="13.2" x14ac:dyDescent="0.25">
      <c r="A440" s="95">
        <v>44975</v>
      </c>
      <c r="B440" s="90">
        <v>1580</v>
      </c>
      <c r="C440" s="74">
        <f>235209.5/1000</f>
        <v>235.20949999999999</v>
      </c>
      <c r="D440" s="96">
        <f ca="1">IFERROR(__xludf.DUMMYFUNCTION("C434*IMPORTRANGE(""https://docs.google.com/spreadsheets/d/1xsp01RMmkav9iTy39Zaj_7tE9677EGlOJ14KU9TZn7I"",""H46"")"),190.537335712499)</f>
        <v>190.53733571249899</v>
      </c>
      <c r="E440" s="96">
        <f ca="1">IFERROR(__xludf.DUMMYFUNCTION("C434*IMPORTRANGE(""https://docs.google.com/spreadsheets/d/1xsp01RMmkav9iTy39Zaj_7tE9677EGlOJ14KU9TZn7I"",""T46"")"),168.457043899999)</f>
        <v>168.45704389999901</v>
      </c>
      <c r="F440" s="96">
        <f ca="1">IFERROR(__xludf.DUMMYFUNCTION("C434*IMPORTRANGE(""https://docs.google.com/spreadsheets/d/1xsp01RMmkav9iTy39Zaj_7tE9677EGlOJ14KU9TZn7I"",""AC46"")"),25322.5371652499)</f>
        <v>25322.537165249902</v>
      </c>
      <c r="G440" s="72" t="s">
        <v>8</v>
      </c>
      <c r="I440" s="5"/>
      <c r="K440" s="51"/>
      <c r="L440" s="3"/>
      <c r="M440" s="52"/>
      <c r="N440" s="52"/>
      <c r="O440" s="52"/>
      <c r="P440" s="52"/>
      <c r="Q440" s="2"/>
    </row>
    <row r="441" spans="1:17" ht="13.2" x14ac:dyDescent="0.25">
      <c r="A441" s="93">
        <v>45003</v>
      </c>
      <c r="B441" s="89">
        <v>1614</v>
      </c>
      <c r="C441" s="59">
        <f>349976.4/1000</f>
        <v>349.97640000000001</v>
      </c>
      <c r="D441" s="94">
        <f ca="1">IFERROR(__xludf.DUMMYFUNCTION("C435*IMPORTRANGE(""https://docs.google.com/spreadsheets/d/1xsp01RMmkav9iTy39Zaj_7tE9677EGlOJ14KU9TZn7I"",""H69"")"),283.823860872)</f>
        <v>283.82386087200001</v>
      </c>
      <c r="E441" s="94">
        <f ca="1">IFERROR(__xludf.DUMMYFUNCTION("C435*IMPORTRANGE(""https://docs.google.com/spreadsheets/d/1xsp01RMmkav9iTy39Zaj_7tE9677EGlOJ14KU9TZn7I"",""T69"")"),250.744091544)</f>
        <v>250.74409154400001</v>
      </c>
      <c r="F441" s="94">
        <f ca="1">IFERROR(__xludf.DUMMYFUNCTION("C435*IMPORTRANGE(""https://docs.google.com/spreadsheets/d/1xsp01RMmkav9iTy39Zaj_7tE9677EGlOJ14KU9TZn7I"",""AC69"")"),37158.5692818)</f>
        <v>37158.569281800002</v>
      </c>
      <c r="G441" s="57" t="s">
        <v>8</v>
      </c>
      <c r="K441" s="51"/>
      <c r="L441" s="3"/>
      <c r="M441" s="52"/>
      <c r="N441" s="52"/>
      <c r="O441" s="52"/>
      <c r="P441" s="52"/>
      <c r="Q441" s="2"/>
    </row>
    <row r="442" spans="1:17" ht="13.2" x14ac:dyDescent="0.25">
      <c r="A442" s="95">
        <v>45034</v>
      </c>
      <c r="B442" s="90">
        <v>1558</v>
      </c>
      <c r="C442" s="74">
        <f>411210.5/1000</f>
        <v>411.21050000000002</v>
      </c>
      <c r="D442" s="96">
        <f ca="1">IFERROR(__xludf.DUMMYFUNCTION("C436*IMPORTRANGE(""https://docs.google.com/spreadsheets/d/1xsp01RMmkav9iTy39Zaj_7tE9677EGlOJ14KU9TZn7I"",""H91"")"),334.515629645)</f>
        <v>334.51562964499999</v>
      </c>
      <c r="E442" s="96">
        <f ca="1">IFERROR(__xludf.DUMMYFUNCTION("C436*IMPORTRANGE(""https://docs.google.com/spreadsheets/d/1xsp01RMmkav9iTy39Zaj_7tE9677EGlOJ14KU9TZn7I"",""T91"")"),291.91833395)</f>
        <v>291.91833394999998</v>
      </c>
      <c r="F442" s="96">
        <f ca="1">IFERROR(__xludf.DUMMYFUNCTION("C436*IMPORTRANGE(""https://docs.google.com/spreadsheets/d/1xsp01RMmkav9iTy39Zaj_7tE9677EGlOJ14KU9TZn7I"",""AC91"")"),44045.9902865)</f>
        <v>44045.990286499997</v>
      </c>
      <c r="G442" s="72" t="s">
        <v>8</v>
      </c>
      <c r="K442" s="51"/>
      <c r="L442" s="3"/>
      <c r="M442" s="52"/>
      <c r="N442" s="52"/>
      <c r="O442" s="52"/>
      <c r="P442" s="52"/>
      <c r="Q442" s="2"/>
    </row>
    <row r="443" spans="1:17" ht="13.2" x14ac:dyDescent="0.25">
      <c r="A443" s="93">
        <v>45064</v>
      </c>
      <c r="B443" s="89">
        <v>1536</v>
      </c>
      <c r="C443" s="59">
        <f>292644/1000</f>
        <v>292.64400000000001</v>
      </c>
      <c r="D443" s="94">
        <f ca="1">IFERROR(__xludf.DUMMYFUNCTION("C437*IMPORTRANGE(""https://docs.google.com/spreadsheets/d/1xsp01RMmkav9iTy39Zaj_7tE9677EGlOJ14KU9TZn7I/"",""H115"")"),247.56511824)</f>
        <v>247.56511824</v>
      </c>
      <c r="E443" s="94">
        <f ca="1">IFERROR(__xludf.DUMMYFUNCTION("C437*IMPORTRANGE(""https://docs.google.com/spreadsheets/d/1xsp01RMmkav9iTy39Zaj_7tE9677EGlOJ14KU9TZn7I"",""T115"")"),216.39853224)</f>
        <v>216.39853224000001</v>
      </c>
      <c r="F443" s="94">
        <f ca="1">IFERROR(__xludf.DUMMYFUNCTION("C437*IMPORTRANGE(""https://docs.google.com/spreadsheets/d/1xsp01RMmkav9iTy39Zaj_7tE9677EGlOJ14KU9TZn7I"",""AC115"")"),32080.513212)</f>
        <v>32080.513212000002</v>
      </c>
      <c r="G443" s="57" t="s">
        <v>8</v>
      </c>
      <c r="K443" s="51"/>
      <c r="L443" s="3"/>
      <c r="M443" s="52"/>
      <c r="N443" s="52"/>
      <c r="O443" s="52"/>
      <c r="P443" s="52"/>
      <c r="Q443" s="2"/>
    </row>
    <row r="444" spans="1:17" ht="13.2" x14ac:dyDescent="0.25">
      <c r="A444" s="95">
        <v>45095</v>
      </c>
      <c r="B444" s="90">
        <v>1501</v>
      </c>
      <c r="C444" s="74">
        <f>274186.4/1000</f>
        <v>274.18640000000005</v>
      </c>
      <c r="D444" s="96">
        <f ca="1">IFERROR(__xludf.DUMMYFUNCTION("C438*IMPORTRANGE(""https://docs.google.com/spreadsheets/d/1xsp01RMmkav9iTy39Zaj_7tE9677EGlOJ14KU9TZn7I/"",""H137"")"),234.9777448)</f>
        <v>234.97774480000001</v>
      </c>
      <c r="E444" s="96">
        <f ca="1">IFERROR(__xludf.DUMMYFUNCTION("C438*IMPORTRANGE(""https://docs.google.com/spreadsheets/d/1xsp01RMmkav9iTy39Zaj_7tE9677EGlOJ14KU9TZn7I"",""T137"")"),206.48977784)</f>
        <v>206.48977783999999</v>
      </c>
      <c r="F444" s="96">
        <f ca="1">IFERROR(__xludf.DUMMYFUNCTION("C438*IMPORTRANGE(""https://docs.google.com/spreadsheets/d/1xsp01RMmkav9iTy39Zaj_7tE9677EGlOJ14KU9TZn7I"",""AC137"")"),30187.1000808)</f>
        <v>30187.100080799999</v>
      </c>
      <c r="G444" s="72" t="s">
        <v>8</v>
      </c>
      <c r="K444" s="51"/>
      <c r="L444" s="3"/>
      <c r="M444" s="52"/>
      <c r="N444" s="52"/>
      <c r="O444" s="52"/>
      <c r="P444" s="52"/>
      <c r="Q444" s="2"/>
    </row>
    <row r="445" spans="1:17" ht="13.2" x14ac:dyDescent="0.25">
      <c r="A445" s="93">
        <v>45125</v>
      </c>
      <c r="B445" s="89">
        <v>1562</v>
      </c>
      <c r="C445" s="59">
        <f>156208.6/1000</f>
        <v>156.20860000000002</v>
      </c>
      <c r="D445" s="94">
        <f ca="1">IFERROR(__xludf.DUMMYFUNCTION("C439*IMPORTRANGE(""https://docs.google.com/spreadsheets/d/1xsp01RMmkav9iTy39Zaj_7tE9677EGlOJ14KU9TZn7I/)"",""H160"")"),133.75361375)</f>
        <v>133.75361375</v>
      </c>
      <c r="E445" s="94">
        <f ca="1">IFERROR(__xludf.DUMMYFUNCTION("C439*IMPORTRANGE(""https://docs.google.com/spreadsheets/d/1xsp01RMmkav9iTy39Zaj_7tE9677EGlOJ14KU9TZn7I"",""T160"")"),118.45298138)</f>
        <v>118.45298138</v>
      </c>
      <c r="F445" s="94">
        <f ca="1">IFERROR(__xludf.DUMMYFUNCTION("C439*IMPORTRANGE(""https://docs.google.com/spreadsheets/d/1xsp01RMmkav9iTy39Zaj_7tE9677EGlOJ14KU9TZn7I"",""AC160"")"),17342.8255021)</f>
        <v>17342.8255021</v>
      </c>
      <c r="G445" s="57" t="s">
        <v>8</v>
      </c>
      <c r="K445" s="51"/>
      <c r="L445" s="3"/>
      <c r="M445" s="52"/>
      <c r="N445" s="52"/>
      <c r="O445" s="52"/>
      <c r="P445" s="52"/>
      <c r="Q445" s="2"/>
    </row>
    <row r="446" spans="1:17" ht="13.2" x14ac:dyDescent="0.25">
      <c r="A446" s="95">
        <v>45156</v>
      </c>
      <c r="B446" s="90">
        <v>1399</v>
      </c>
      <c r="C446" s="74">
        <f>132375.9/1000</f>
        <v>132.3759</v>
      </c>
      <c r="D446" s="96">
        <f ca="1">IFERROR(__xludf.DUMMYFUNCTION("C440*IMPORTRANGE(""https://docs.google.com/spreadsheets/d/1xsp01RMmkav9iTy39Zaj_7tE9677EGlOJ14KU9TZn7I/"",""H184"")"),114.34630242)</f>
        <v>114.34630242</v>
      </c>
      <c r="E446" s="96">
        <f ca="1">IFERROR(__xludf.DUMMYFUNCTION("C440*IMPORTRANGE(""https://docs.google.com/spreadsheets/d/1xsp01RMmkav9iTy39Zaj_7tE9677EGlOJ14KU9TZn7I"", ""T184"")"),102.76341117)</f>
        <v>102.76341117</v>
      </c>
      <c r="F446" s="96">
        <f ca="1">IFERROR(__xludf.DUMMYFUNCTION("C440*IMPORTRANGE(""https://docs.google.com/spreadsheets/d/1xsp01RMmkav9iTy39Zaj_7tE9677EGlOJ14KU9TZn7I"",""AC184"")"),14711.8603983)</f>
        <v>14711.860398299999</v>
      </c>
      <c r="G446" s="72" t="s">
        <v>8</v>
      </c>
      <c r="K446" s="51"/>
      <c r="L446" s="3"/>
      <c r="M446" s="52"/>
      <c r="N446" s="52"/>
      <c r="O446" s="52"/>
      <c r="P446" s="52"/>
      <c r="Q446" s="2"/>
    </row>
    <row r="447" spans="1:17" ht="13.2" x14ac:dyDescent="0.25">
      <c r="A447" s="93">
        <v>45187</v>
      </c>
      <c r="B447" s="89">
        <v>1495</v>
      </c>
      <c r="C447" s="59">
        <f>160347.3/1000</f>
        <v>160.34729999999999</v>
      </c>
      <c r="D447" s="94">
        <f ca="1">IFERROR(__xludf.DUMMYFUNCTION("C441*IMPORTRANGE(""https://docs.google.com/spreadsheets/d/1xsp01RMmkav9iTy39Zaj_7tE9677EGlOJ14KU9TZn7I/|"",""H205"")"),137.799262674)</f>
        <v>137.799262674</v>
      </c>
      <c r="E447" s="94">
        <f ca="1">IFERROR(__xludf.DUMMYFUNCTION("C441*IMPORTRANGE(""https://docs.google.com/spreadsheets/d/1xsp01RMmkav9iTy39Zaj_7tE9677EGlOJ14KU9TZn7I"", ""T205"")"),122.627201148)</f>
        <v>122.627201148</v>
      </c>
      <c r="F447" s="94">
        <f ca="1">IFERROR(__xludf.DUMMYFUNCTION("C441*IMPORTRANGE(""https://docs.google.com/spreadsheets/d/1xsp01RMmkav9iTy39Zaj_7tE9677EGlOJ14KU9TZn7I"",""AC205"")"),17930.27560695)</f>
        <v>17930.275606949999</v>
      </c>
      <c r="G447" s="57" t="s">
        <v>8</v>
      </c>
      <c r="K447" s="51"/>
      <c r="L447" s="3"/>
      <c r="M447" s="52"/>
      <c r="N447" s="52"/>
      <c r="O447" s="52"/>
      <c r="P447" s="52"/>
      <c r="Q447" s="2"/>
    </row>
    <row r="448" spans="1:17" ht="13.2" x14ac:dyDescent="0.25">
      <c r="A448" s="95">
        <v>45217</v>
      </c>
      <c r="B448" s="90">
        <v>1696</v>
      </c>
      <c r="C448" s="74">
        <f>229263.6/1000</f>
        <v>229.2636</v>
      </c>
      <c r="D448" s="96">
        <f ca="1">IFERROR(__xludf.DUMMYFUNCTION("C442*IMPORTRANGE(""https://docs.google.com/spreadsheets/d/1xsp01RMmkav9iTy39Zaj_7tE9677EGlOJ14KU9TZn7I/"",""H229"")"),199.239238944)</f>
        <v>199.23923894399999</v>
      </c>
      <c r="E448" s="96">
        <f ca="1">IFERROR(__xludf.DUMMYFUNCTION("C442*IMPORTRANGE(""https://docs.google.com/spreadsheets/d/1xsp01RMmkav9iTy39Zaj_7tE9677EGlOJ14KU9TZn7I"",""T229"")"),175.74201258)</f>
        <v>175.74201257999999</v>
      </c>
      <c r="F448" s="96">
        <f ca="1">IFERROR(__xludf.DUMMYFUNCTION("C442*IMPORTRANGE(""https://docs.google.com/spreadsheets/d/1xsp01RMmkav9iTy39Zaj_7tE9677EGlOJ14KU9TZn7I"",""AC229"")"),25787.569728)</f>
        <v>25787.569727999999</v>
      </c>
      <c r="G448" s="72" t="s">
        <v>8</v>
      </c>
      <c r="K448" s="51"/>
      <c r="L448" s="3"/>
      <c r="M448" s="52"/>
      <c r="N448" s="52"/>
      <c r="O448" s="52"/>
      <c r="P448" s="52"/>
      <c r="Q448" s="2"/>
    </row>
    <row r="449" spans="1:17" ht="13.2" x14ac:dyDescent="0.25">
      <c r="A449" s="93">
        <v>45248</v>
      </c>
      <c r="B449" s="89">
        <v>1612</v>
      </c>
      <c r="C449" s="59">
        <f>170458.9/1000</f>
        <v>170.4589</v>
      </c>
      <c r="D449" s="94">
        <f ca="1">IFERROR(__xludf.DUMMYFUNCTION("C443*IMPORTRANGE(""https://docs.google.com/spreadsheets/d/1xsp01RMmkav9iTy39Zaj_7tE9677EGlOJ14KU9TZn7I/"",""H252"")"),149.913488783)</f>
        <v>149.91348878299999</v>
      </c>
      <c r="E449" s="94">
        <f ca="1">IFERROR(__xludf.DUMMYFUNCTION("C443*IMPORTRANGE(""https://docs.google.com/spreadsheets/d/1xsp01RMmkav9iTy39Zaj_7tE9677EGlOJ14KU9TZn7I"", ""T252"")"),132.5616250575)</f>
        <v>132.56162505750001</v>
      </c>
      <c r="F449" s="94">
        <f ca="1">IFERROR(__xludf.DUMMYFUNCTION("C443*IMPORTRANGE(""https://docs.google.com/spreadsheets/d/1xsp01RMmkav9iTy39Zaj_7tE9677EGlOJ14KU9TZn7I"",""AC252"")"),19327.8232943)</f>
        <v>19327.8232943</v>
      </c>
      <c r="G449" s="57" t="s">
        <v>8</v>
      </c>
      <c r="K449" s="51"/>
      <c r="L449" s="3"/>
      <c r="M449" s="52"/>
      <c r="N449" s="52"/>
      <c r="O449" s="52"/>
      <c r="P449" s="52"/>
      <c r="Q449" s="2"/>
    </row>
    <row r="450" spans="1:17" ht="13.2" x14ac:dyDescent="0.25">
      <c r="A450" s="97">
        <v>45278</v>
      </c>
      <c r="B450" s="91">
        <v>1677</v>
      </c>
      <c r="C450" s="78">
        <f>146471.1/1000</f>
        <v>146.47110000000001</v>
      </c>
      <c r="D450" s="98">
        <f ca="1">IFERROR(__xludf.DUMMYFUNCTION("C444*IMPORTRANGE(""https://docs.google.com/spreadsheets/d/1xsp01RMmkav9iTy39Zaj_7tE9677EGlOJ14KU9TZn7I/"",""H273"")"),128.790573519)</f>
        <v>128.79057351899999</v>
      </c>
      <c r="E450" s="98">
        <f ca="1">IFERROR(__xludf.DUMMYFUNCTION("C444*IMPORTRANGE(""https://docs.google.com/spreadsheets/d/1xsp01RMmkav9iTy39Zaj_7tE9677EGlOJ14KU9TZn7I"", ""T273"")"),115.74146322)</f>
        <v>115.74146322</v>
      </c>
      <c r="F450" s="98">
        <f ca="1">IFERROR(__xludf.DUMMYFUNCTION("C444*IMPORTRANGE(""https://docs.google.com/spreadsheets/d/1xsp01RMmkav9iTy39Zaj_7tE9677EGlOJ14KU9TZn7I"",""AC273"")"),16505.6817879)</f>
        <v>16505.681787900001</v>
      </c>
      <c r="G450" s="76" t="s">
        <v>8</v>
      </c>
      <c r="K450" s="51"/>
      <c r="L450" s="3"/>
      <c r="M450" s="52"/>
      <c r="N450" s="52"/>
      <c r="O450" s="52"/>
      <c r="P450" s="52"/>
      <c r="Q450" s="2"/>
    </row>
    <row r="451" spans="1:17" ht="13.2" x14ac:dyDescent="0.25">
      <c r="A451" s="68">
        <v>2019</v>
      </c>
      <c r="B451" s="69"/>
      <c r="C451" s="92"/>
      <c r="D451" s="92"/>
      <c r="E451" s="92"/>
      <c r="F451" s="92"/>
      <c r="G451" s="68"/>
      <c r="K451" s="2"/>
      <c r="L451" s="3"/>
      <c r="M451" s="2"/>
      <c r="N451" s="52"/>
      <c r="O451" s="52"/>
      <c r="P451" s="52"/>
      <c r="Q451" s="2"/>
    </row>
    <row r="452" spans="1:17" ht="13.2" x14ac:dyDescent="0.25">
      <c r="A452" s="93">
        <v>43484</v>
      </c>
      <c r="B452" s="89">
        <v>1589</v>
      </c>
      <c r="C452" s="59">
        <f>155908.7/1000</f>
        <v>155.90870000000001</v>
      </c>
      <c r="D452" s="94">
        <f ca="1">IFERROR(__xludf.DUMMYFUNCTION("C446*IMPORTRANGE(""https://docs.google.com/spreadsheets/d/1xsp01RMmkav9iTy39Zaj_7tE9677EGlOJ14KU9TZn7I/"",""H298"")"),136.56043033)</f>
        <v>136.56043033</v>
      </c>
      <c r="E452" s="94">
        <f ca="1">IFERROR(__xludf.DUMMYFUNCTION("C446*IMPORTRANGE(""https://docs.google.com/spreadsheets/d/1xsp01RMmkav9iTy39Zaj_7tE9677EGlOJ14KU9TZn7I"",""T298"")"),121.120791769)</f>
        <v>121.12079176899999</v>
      </c>
      <c r="F452" s="94">
        <f ca="1">IFERROR(__xludf.DUMMYFUNCTION("C446*IMPORTRANGE(""https://docs.google.com/spreadsheets/d/1xsp01RMmkav9iTy39Zaj_7tE9677EGlOJ14KU9TZn7I"",""AC298"")"),16999.8169219)</f>
        <v>16999.816921900001</v>
      </c>
      <c r="G452" s="57" t="s">
        <v>8</v>
      </c>
    </row>
    <row r="453" spans="1:17" ht="13.2" x14ac:dyDescent="0.25">
      <c r="A453" s="95">
        <v>43515</v>
      </c>
      <c r="B453" s="90">
        <v>1371</v>
      </c>
      <c r="C453" s="74">
        <f>197978.1/1000</f>
        <v>197.97810000000001</v>
      </c>
      <c r="D453" s="96">
        <f ca="1">IFERROR(__xludf.DUMMYFUNCTION("C447*IMPORTRANGE(""https://docs.google.com/spreadsheets/d/1xsp01RMmkav9iTy39Zaj_7tE9677EGlOJ14KU9TZn7I"",""H319"")"),174.53749296)</f>
        <v>174.53749296000001</v>
      </c>
      <c r="E453" s="96">
        <f ca="1">IFERROR(__xludf.DUMMYFUNCTION("C447*IMPORTRANGE(""https://docs.google.com/spreadsheets/d/1xsp01RMmkav9iTy39Zaj_7tE9677EGlOJ14KU9TZn7I"",""T319"")"),152.3609760885)</f>
        <v>152.3609760885</v>
      </c>
      <c r="F453" s="96">
        <f ca="1">IFERROR(__xludf.DUMMYFUNCTION("C447*IMPORTRANGE(""https://docs.google.com/spreadsheets/d/1xsp01RMmkav9iTy39Zaj_7tE9677EGlOJ14KU9TZn7I"",""AC319"")"),21885.8850207)</f>
        <v>21885.8850207</v>
      </c>
      <c r="G453" s="72" t="s">
        <v>8</v>
      </c>
    </row>
    <row r="454" spans="1:17" ht="13.2" x14ac:dyDescent="0.25">
      <c r="A454" s="93">
        <v>43543</v>
      </c>
      <c r="B454" s="89">
        <v>1432</v>
      </c>
      <c r="C454" s="59">
        <f>242071.7/1000</f>
        <v>242.07170000000002</v>
      </c>
      <c r="D454" s="94">
        <f ca="1">IFERROR(__xludf.DUMMYFUNCTION("C448*IMPORTRANGE(""https://docs.google.com/spreadsheets/d/1xsp01RMmkav9iTy39Zaj_7tE9677EGlOJ14KU9TZn7I"",""H341"")"),213.957492762)</f>
        <v>213.95749276199999</v>
      </c>
      <c r="E454" s="94">
        <f ca="1">IFERROR(__xludf.DUMMYFUNCTION("C448*IMPORTRANGE(""https://docs.google.com/spreadsheets/d/1xsp01RMmkav9iTy39Zaj_7tE9677EGlOJ14KU9TZn7I"",""T341"")"),183.29669124)</f>
        <v>183.29669124</v>
      </c>
      <c r="F454" s="94">
        <f ca="1">IFERROR(__xludf.DUMMYFUNCTION("C448*IMPORTRANGE(""https://docs.google.com/spreadsheets/d/1xsp01RMmkav9iTy39Zaj_7tE9677EGlOJ14KU9TZn7I"",""AC341"")"),26952.7472214)</f>
        <v>26952.747221400001</v>
      </c>
      <c r="G454" s="57" t="s">
        <v>8</v>
      </c>
    </row>
    <row r="455" spans="1:17" ht="13.2" x14ac:dyDescent="0.25">
      <c r="A455" s="95">
        <v>43574</v>
      </c>
      <c r="B455" s="90">
        <v>1402</v>
      </c>
      <c r="C455" s="74">
        <f>198490.4/1000</f>
        <v>198.49039999999999</v>
      </c>
      <c r="D455" s="96">
        <f ca="1">IFERROR(__xludf.DUMMYFUNCTION("C449*IMPORTRANGE(""https://docs.google.com/spreadsheets/d/1xsp01RMmkav9iTy39Zaj_7tE9677EGlOJ14KU9TZn7I"",""H364"")"),176.588969263999)</f>
        <v>176.58896926399899</v>
      </c>
      <c r="E455" s="96">
        <f ca="1">IFERROR(__xludf.DUMMYFUNCTION("C449*IMPORTRANGE(""https://docs.google.com/spreadsheets/d/1xsp01RMmkav9iTy39Zaj_7tE9677EGlOJ14KU9TZn7I"",""T364"")"),152.183582132)</f>
        <v>152.183582132</v>
      </c>
      <c r="F455" s="96">
        <f ca="1">IFERROR(__xludf.DUMMYFUNCTION("C449*IMPORTRANGE(""https://docs.google.com/spreadsheets/d/1xsp01RMmkav9iTy39Zaj_7tE9677EGlOJ14KU9TZn7I"",""AC364"")"),22164.926742)</f>
        <v>22164.926742</v>
      </c>
      <c r="G455" s="72" t="s">
        <v>8</v>
      </c>
    </row>
    <row r="456" spans="1:17" ht="13.2" x14ac:dyDescent="0.25">
      <c r="A456" s="99">
        <v>43604</v>
      </c>
      <c r="B456" s="89">
        <v>1374</v>
      </c>
      <c r="C456" s="59">
        <f>240328.6/1000</f>
        <v>240.32859999999999</v>
      </c>
      <c r="D456" s="94">
        <f ca="1">IFERROR(__xludf.DUMMYFUNCTION("C450*IMPORTRANGE(""https://docs.google.com/spreadsheets/d/1xsp01RMmkav9iTy39Zaj_7tE9677EGlOJ14KU9TZn7I"",""H388"")"),214.723990956)</f>
        <v>214.72399095599999</v>
      </c>
      <c r="E456" s="94">
        <f ca="1">IFERROR(__xludf.DUMMYFUNCTION("C450*IMPORTRANGE(""https://docs.google.com/spreadsheets/d/1xsp01RMmkav9iTy39Zaj_7tE9677EGlOJ14KU9TZn7I"",""T388"")"),186.634384188)</f>
        <v>186.63438418800001</v>
      </c>
      <c r="F456" s="94">
        <f ca="1">IFERROR(__xludf.DUMMYFUNCTION("C450*IMPORTRANGE(""https://docs.google.com/spreadsheets/d/1xsp01RMmkav9iTy39Zaj_7tE9677EGlOJ14KU9TZn7I"",""AC388"")"),26397.4530954)</f>
        <v>26397.4530954</v>
      </c>
      <c r="G456" s="57" t="s">
        <v>8</v>
      </c>
    </row>
    <row r="457" spans="1:17" ht="13.2" x14ac:dyDescent="0.25">
      <c r="A457" s="95">
        <v>43635</v>
      </c>
      <c r="B457" s="90">
        <v>1455</v>
      </c>
      <c r="C457" s="74">
        <f>283592.2/1000</f>
        <v>283.59219999999999</v>
      </c>
      <c r="D457" s="96">
        <f ca="1">IFERROR(__xludf.DUMMYFUNCTION("C451*IMPORTRANGE(""https://docs.google.com/spreadsheets/d/1xsp01RMmkav9iTy39Zaj_7tE9677EGlOJ14KU9TZn7I"",""H409"")"),251.232912019)</f>
        <v>251.232912019</v>
      </c>
      <c r="E457" s="96">
        <f ca="1">IFERROR(__xludf.DUMMYFUNCTION("C451*IMPORTRANGE(""https://docs.google.com/spreadsheets/d/1xsp01RMmkav9iTy39Zaj_7tE9677EGlOJ14KU9TZn7I"",""T409"")"),223.460727873)</f>
        <v>223.460727873</v>
      </c>
      <c r="F457" s="96">
        <f ca="1">IFERROR(__xludf.DUMMYFUNCTION("C451*IMPORTRANGE(""https://docs.google.com/spreadsheets/d/1xsp01RMmkav9iTy39Zaj_7tE9677EGlOJ14KU9TZn7I"",""AC409"")"),30709.4903575)</f>
        <v>30709.490357499999</v>
      </c>
      <c r="G457" s="72" t="s">
        <v>8</v>
      </c>
    </row>
    <row r="458" spans="1:17" ht="13.2" x14ac:dyDescent="0.25">
      <c r="A458" s="93">
        <v>43665</v>
      </c>
      <c r="B458" s="89">
        <v>1630</v>
      </c>
      <c r="C458" s="59">
        <f>145937.1/1000</f>
        <v>145.93710000000002</v>
      </c>
      <c r="D458" s="94">
        <f ca="1">IFERROR(__xludf.DUMMYFUNCTION("C452*IMPORTRANGE(""https://docs.google.com/spreadsheets/d/1xsp01RMmkav9iTy39Zaj_7tE9677EGlOJ14KU9TZn7I"",""H433"")"),129.983256228)</f>
        <v>129.98325622799999</v>
      </c>
      <c r="E458" s="94">
        <f ca="1">IFERROR(__xludf.DUMMYFUNCTION("C452*IMPORTRANGE(""https://docs.google.com/spreadsheets/d/1xsp01RMmkav9iTy39Zaj_7tE9677EGlOJ14KU9TZn7I"",""T433"")"),116.630011578)</f>
        <v>116.63001157799999</v>
      </c>
      <c r="F458" s="94">
        <f ca="1">IFERROR(__xludf.DUMMYFUNCTION("C452*IMPORTRANGE(""https://docs.google.com/spreadsheets/d/1xsp01RMmkav9iTy39Zaj_7tE9677EGlOJ14KU9TZn7I"",""AC433"")"),15795.0642072)</f>
        <v>15795.064207199999</v>
      </c>
      <c r="G458" s="57" t="s">
        <v>8</v>
      </c>
    </row>
    <row r="459" spans="1:17" ht="13.2" x14ac:dyDescent="0.25">
      <c r="A459" s="95">
        <v>43696</v>
      </c>
      <c r="B459" s="90">
        <v>1375</v>
      </c>
      <c r="C459" s="74">
        <f>159133.3/1000</f>
        <v>159.13329999999999</v>
      </c>
      <c r="D459" s="96">
        <f ca="1">IFERROR(__xludf.DUMMYFUNCTION("C453*IMPORTRANGE(""https://docs.google.com/spreadsheets/d/1xsp01RMmkav9iTy39Zaj_7tE9677EGlOJ14KU9TZn7I"",""H456"")"),143.2876016525)</f>
        <v>143.2876016525</v>
      </c>
      <c r="E459" s="96">
        <f ca="1">IFERROR(__xludf.DUMMYFUNCTION("C453*IMPORTRANGE(""https://docs.google.com/spreadsheets/d/1xsp01RMmkav9iTy39Zaj_7tE9677EGlOJ14KU9TZn7I"",""T456"")"),130.9420402385)</f>
        <v>130.9420402385</v>
      </c>
      <c r="F459" s="96">
        <f ca="1">IFERROR(__xludf.DUMMYFUNCTION("C453*IMPORTRANGE(""https://docs.google.com/spreadsheets/d/1xsp01RMmkav9iTy39Zaj_7tE9677EGlOJ14KU9TZn7I"",""AC456"")"),16899.55862675)</f>
        <v>16899.55862675</v>
      </c>
      <c r="G459" s="72" t="s">
        <v>8</v>
      </c>
    </row>
    <row r="460" spans="1:17" ht="13.2" x14ac:dyDescent="0.25">
      <c r="A460" s="93">
        <v>43727</v>
      </c>
      <c r="B460" s="89">
        <v>1402</v>
      </c>
      <c r="C460" s="59">
        <f>175120.9/1000</f>
        <v>175.12090000000001</v>
      </c>
      <c r="D460" s="94">
        <f ca="1">IFERROR(__xludf.DUMMYFUNCTION("C454*IMPORTRANGE(""https://docs.google.com/spreadsheets/d/1xsp01RMmkav9iTy39Zaj_7tE9677EGlOJ14KU9TZn7I"",""H478"")"),158.925719168)</f>
        <v>158.925719168</v>
      </c>
      <c r="E460" s="94">
        <f ca="1">IFERROR(__xludf.DUMMYFUNCTION("C454*IMPORTRANGE(""https://docs.google.com/spreadsheets/d/1xsp01RMmkav9iTy39Zaj_7tE9677EGlOJ14KU9TZn7I"",""T478"")"),141.851431418)</f>
        <v>141.851431418</v>
      </c>
      <c r="F460" s="94">
        <f ca="1">IFERROR(__xludf.DUMMYFUNCTION("C454*IMPORTRANGE(""https://docs.google.com/spreadsheets/d/1xsp01RMmkav9iTy39Zaj_7tE9677EGlOJ14KU9TZn7I"",""AC478"")"),18852.1151268)</f>
        <v>18852.115126799999</v>
      </c>
      <c r="G460" s="57" t="s">
        <v>8</v>
      </c>
    </row>
    <row r="461" spans="1:17" ht="13.2" x14ac:dyDescent="0.25">
      <c r="A461" s="95">
        <v>44123</v>
      </c>
      <c r="B461" s="90">
        <v>1502</v>
      </c>
      <c r="C461" s="74">
        <f>246350.2/1000</f>
        <v>246.3502</v>
      </c>
      <c r="D461" s="96">
        <f ca="1">IFERROR(__xludf.DUMMYFUNCTION("C455*IMPORTRANGE("" https://docs.google.com/spreadsheets/d/1xsp01RMmkav9iTy39Zaj_7tE9677EGlOJ14KU9TZn7I"", ""H502"")"),223.249941746)</f>
        <v>223.24994174599999</v>
      </c>
      <c r="E461" s="96">
        <f ca="1">IFERROR(__xludf.DUMMYFUNCTION("C455*IMPORTRANGE(""https://docs.google.com/spreadsheets/d/1xsp01RMmkav9iTy39Zaj_7tE9677EGlOJ14KU9TZn7I"",""T502"")"),193.054797732)</f>
        <v>193.054797732</v>
      </c>
      <c r="F461" s="96">
        <f ca="1">IFERROR(__xludf.DUMMYFUNCTION("C455*IMPORTRANGE(""https://docs.google.com/spreadsheets/d/1xsp01RMmkav9iTy39Zaj_7tE9677EGlOJ14KU9TZn7I"",""AC502"")"),26718.8963418)</f>
        <v>26718.896341799998</v>
      </c>
      <c r="G461" s="72" t="s">
        <v>8</v>
      </c>
    </row>
    <row r="462" spans="1:17" ht="13.2" x14ac:dyDescent="0.25">
      <c r="A462" s="93">
        <v>43788</v>
      </c>
      <c r="B462" s="89">
        <v>1533</v>
      </c>
      <c r="C462" s="59">
        <f>256805.6/1000</f>
        <v>256.80560000000003</v>
      </c>
      <c r="D462" s="94">
        <f ca="1">IFERROR(__xludf.DUMMYFUNCTION("C456*IMPORTRANGE(""https://docs.google.com/spreadsheets/d/1xsp01RMmkav9iTy39Zaj_7tE9677EGlOJ14KU9TZn7I"",""H524"")"),232.709530552)</f>
        <v>232.70953055199999</v>
      </c>
      <c r="E462" s="94">
        <f ca="1">IFERROR(__xludf.DUMMYFUNCTION("C456*IMPORTRANGE(""https://docs.google.com/spreadsheets/d/1xsp01RMmkav9iTy39Zaj_7tE9677EGlOJ14KU9TZn7I"",""T524"")"),199.20410392)</f>
        <v>199.20410391999999</v>
      </c>
      <c r="F462" s="94">
        <f ca="1">IFERROR(__xludf.DUMMYFUNCTION("C456*IMPORTRANGE(""https://docs.google.com/spreadsheets/d/1xsp01RMmkav9iTy39Zaj_7tE9677EGlOJ14KU9TZn7I"",""AC524"")"),27939.9356688)</f>
        <v>27939.935668800001</v>
      </c>
      <c r="G462" s="57" t="s">
        <v>8</v>
      </c>
    </row>
    <row r="463" spans="1:17" ht="13.2" x14ac:dyDescent="0.25">
      <c r="A463" s="97">
        <v>43818</v>
      </c>
      <c r="B463" s="91">
        <v>1797</v>
      </c>
      <c r="C463" s="78">
        <f>266107.8/1000</f>
        <v>266.1078</v>
      </c>
      <c r="D463" s="98">
        <f ca="1">IFERROR(__xludf.DUMMYFUNCTION("C457*IMPORTRANGE(""https://docs.google.com/spreadsheets/d/1xsp01RMmkav9iTy39Zaj_7tE9677EGlOJ14KU9TZn7I"",""H547"")"),239.773772112)</f>
        <v>239.77377211199999</v>
      </c>
      <c r="E463" s="98">
        <f ca="1">IFERROR(__xludf.DUMMYFUNCTION("C457*IMPORTRANGE(""https://docs.google.com/spreadsheets/d/1xsp01RMmkav9iTy39Zaj_7tE9677EGlOJ14KU9TZn7I"",""T547"")"),203.110769966999)</f>
        <v>203.11076996699899</v>
      </c>
      <c r="F463" s="98">
        <f ca="1">IFERROR(__xludf.DUMMYFUNCTION("C457*IMPORTRANGE(""https://docs.google.com/spreadsheets/d/1xsp01RMmkav9iTy39Zaj_7tE9677EGlOJ14KU9TZn7I"",""AC547"")"),29107.5364334999)</f>
        <v>29107.536433499899</v>
      </c>
      <c r="G463" s="76" t="s">
        <v>8</v>
      </c>
    </row>
    <row r="464" spans="1:17" ht="13.2" x14ac:dyDescent="0.25">
      <c r="A464" s="68">
        <v>2020</v>
      </c>
      <c r="B464" s="69"/>
      <c r="C464" s="92"/>
      <c r="D464" s="92"/>
      <c r="E464" s="92"/>
      <c r="F464" s="92"/>
      <c r="G464" s="68"/>
    </row>
    <row r="465" spans="1:7" ht="13.2" x14ac:dyDescent="0.25">
      <c r="A465" s="93">
        <v>43850</v>
      </c>
      <c r="B465" s="89">
        <v>1531</v>
      </c>
      <c r="C465" s="59">
        <f>134265.6/1000</f>
        <v>134.26560000000001</v>
      </c>
      <c r="D465" s="94">
        <f ca="1">IFERROR(__xludf.DUMMYFUNCTION("C459*IMPORTRANGE(""https://docs.google.com/spreadsheets/d/1xsp01RMmkav9iTy39Zaj_7tE9677EGlOJ14KU9TZn7I"",""H572"")"),120.816214848)</f>
        <v>120.816214848</v>
      </c>
      <c r="E465" s="94">
        <f ca="1">IFERROR(__xludf.DUMMYFUNCTION("C459*IMPORTRANGE(""https://docs.google.com/spreadsheets/d/1xsp01RMmkav9iTy39Zaj_7tE9677EGlOJ14KU9TZn7I"",""T572"")"),102.72661056)</f>
        <v>102.72661056</v>
      </c>
      <c r="F465" s="94">
        <f ca="1">IFERROR(__xludf.DUMMYFUNCTION("C459*IMPORTRANGE(""https://docs.google.com/spreadsheets/d/1xsp01RMmkav9iTy39Zaj_7tE9677EGlOJ14KU9TZn7I"",""AC572"")"),14652.6734592)</f>
        <v>14652.673459199999</v>
      </c>
      <c r="G465" s="57" t="s">
        <v>8</v>
      </c>
    </row>
    <row r="466" spans="1:7" ht="13.2" x14ac:dyDescent="0.25">
      <c r="A466" s="95">
        <v>43881</v>
      </c>
      <c r="B466" s="90">
        <v>1349</v>
      </c>
      <c r="C466" s="74">
        <f>192088.8/1000</f>
        <v>192.08879999999999</v>
      </c>
      <c r="D466" s="96">
        <f ca="1">IFERROR(__xludf.DUMMYFUNCTION("C460*IMPORTRANGE(""https://docs.google.com/spreadsheets/d/1xsp01RMmkav9iTy39Zaj_7tE9677EGlOJ14KU9TZn7I"",""H593"")"),176.488308107999)</f>
        <v>176.48830810799899</v>
      </c>
      <c r="E466" s="96">
        <f ca="1">IFERROR(__xludf.DUMMYFUNCTION("C460*IMPORTRANGE(""https://docs.google.com/spreadsheets/d/1xsp01RMmkav9iTy39Zaj_7tE9677EGlOJ14KU9TZn7I"",""T593"")"),148.250294064)</f>
        <v>148.250294064</v>
      </c>
      <c r="F466" s="96">
        <f ca="1">IFERROR(__xludf.DUMMYFUNCTION("C460*IMPORTRANGE(""https://docs.google.com/spreadsheets/d/1xsp01RMmkav9iTy39Zaj_7tE9677EGlOJ14KU9TZn7I"",""AC593"")"),21098.3614811999)</f>
        <v>21098.3614811999</v>
      </c>
      <c r="G466" s="72" t="s">
        <v>8</v>
      </c>
    </row>
    <row r="467" spans="1:7" ht="13.2" x14ac:dyDescent="0.25">
      <c r="A467" s="93">
        <v>43910</v>
      </c>
      <c r="B467" s="89">
        <v>1140</v>
      </c>
      <c r="C467" s="59">
        <f>139385.8/1000</f>
        <v>139.38579999999999</v>
      </c>
      <c r="D467" s="94">
        <f ca="1">IFERROR(__xludf.DUMMYFUNCTION("C461*IMPORTRANGE(""https://docs.google.com/spreadsheets/d/1xsp01RMmkav9iTy39Zaj_7tE9677EGlOJ14KU9TZn7I"",""H616"")"),125.132208091999)</f>
        <v>125.132208091999</v>
      </c>
      <c r="E467" s="94">
        <f ca="1">IFERROR(__xludf.DUMMYFUNCTION("C461*IMPORTRANGE(""https://docs.google.com/spreadsheets/d/1xsp01RMmkav9iTy39Zaj_7tE9677EGlOJ14KU9TZn7I"",""T616"")"),112.168492377199)</f>
        <v>112.168492377199</v>
      </c>
      <c r="F467" s="94">
        <f ca="1">IFERROR(__xludf.DUMMYFUNCTION("C461*IMPORTRANGE(""https://docs.google.com/spreadsheets/d/1xsp01RMmkav9iTy39Zaj_7tE9677EGlOJ14KU9TZn7I"",""AC616"")"),14990.245861)</f>
        <v>14990.245860999999</v>
      </c>
      <c r="G467" s="57" t="s">
        <v>8</v>
      </c>
    </row>
    <row r="468" spans="1:7" ht="13.2" x14ac:dyDescent="0.25">
      <c r="A468" s="95">
        <v>43941</v>
      </c>
      <c r="B468" s="90">
        <v>875</v>
      </c>
      <c r="C468" s="74">
        <f>51398.6/1000</f>
        <v>51.398600000000002</v>
      </c>
      <c r="D468" s="96">
        <f ca="1">IFERROR(__xludf.DUMMYFUNCTION("C462*IMPORTRANGE(""https://docs.google.com/spreadsheets/d/1xsp01RMmkav9iTy39Zaj_7tE9677EGlOJ14KU9TZn7I"",""H639"")"),47.30984137)</f>
        <v>47.309841370000001</v>
      </c>
      <c r="E468" s="96">
        <f ca="1">IFERROR(__xludf.DUMMYFUNCTION("C462*IMPORTRANGE(""https://docs.google.com/spreadsheets/d/1xsp01RMmkav9iTy39Zaj_7tE9677EGlOJ14KU9TZn7I"",""T639"")"),41.398488384)</f>
        <v>41.398488383999997</v>
      </c>
      <c r="F468" s="96">
        <f ca="1">IFERROR(__xludf.DUMMYFUNCTION("C462*IMPORTRANGE(""https://docs.google.com/spreadsheets/d/1xsp01RMmkav9iTy39Zaj_7tE9677EGlOJ14KU9TZn7I"",""AC639"")"),5534.0615627)</f>
        <v>5534.0615626999997</v>
      </c>
      <c r="G468" s="72" t="s">
        <v>8</v>
      </c>
    </row>
    <row r="469" spans="1:7" ht="13.2" x14ac:dyDescent="0.25">
      <c r="A469" s="99">
        <v>43971</v>
      </c>
      <c r="B469" s="89">
        <v>914</v>
      </c>
      <c r="C469" s="59">
        <f>53004.6/1000</f>
        <v>53.004599999999996</v>
      </c>
      <c r="D469" s="94">
        <f ca="1">IFERROR(__xludf.DUMMYFUNCTION("C463*IMPORTRANGE(""https://docs.google.com/spreadsheets/d/1xsp01RMmkav9iTy39Zaj_7tE9677EGlOJ14KU9TZn7I"",""H661"")"),48.608928522)</f>
        <v>48.608928521999999</v>
      </c>
      <c r="E469" s="94">
        <f ca="1">IFERROR(__xludf.DUMMYFUNCTION("C463*IMPORTRANGE(""https://docs.google.com/spreadsheets/d/1xsp01RMmkav9iTy39Zaj_7tE9677EGlOJ14KU9TZn7I"",""T661"")"),43.2167705639999)</f>
        <v>43.216770563999901</v>
      </c>
      <c r="F469" s="94">
        <f ca="1">IFERROR(__xludf.DUMMYFUNCTION("C463*IMPORTRANGE(""https://docs.google.com/spreadsheets/d/1xsp01RMmkav9iTy39Zaj_7tE9677EGlOJ14KU9TZn7I"",""AC661"")"),5690.83887899999)</f>
        <v>5690.8388789999899</v>
      </c>
      <c r="G469" s="57" t="s">
        <v>8</v>
      </c>
    </row>
    <row r="470" spans="1:7" ht="13.2" x14ac:dyDescent="0.25">
      <c r="A470" s="95">
        <v>44002</v>
      </c>
      <c r="B470" s="90">
        <v>1116</v>
      </c>
      <c r="C470" s="74">
        <f>112152.3/1000</f>
        <v>112.1523</v>
      </c>
      <c r="D470" s="96">
        <f ca="1">IFERROR(__xludf.DUMMYFUNCTION("C464*IMPORTRANGE(""https://docs.google.com/spreadsheets/d/1xsp01RMmkav9iTy39Zaj_7tE9677EGlOJ14KU9TZn7I"",""H684"")"),99.6781604325)</f>
        <v>99.678160432499993</v>
      </c>
      <c r="E470" s="96">
        <f ca="1">IFERROR(__xludf.DUMMYFUNCTION("C464*IMPORTRANGE(""https://docs.google.com/spreadsheets/d/1xsp01RMmkav9iTy39Zaj_7tE9677EGlOJ14KU9TZn7I"",""T684"")"),89.4442630575)</f>
        <v>89.444263057499995</v>
      </c>
      <c r="F470" s="96">
        <f ca="1">IFERROR(__xludf.DUMMYFUNCTION("C464*IMPORTRANGE(""https://docs.google.com/spreadsheets/d/1xsp01RMmkav9iTy39Zaj_7tE9677EGlOJ14KU9TZn7I"",""AC684"")"),12040.72700415)</f>
        <v>12040.72700415</v>
      </c>
      <c r="G470" s="72" t="s">
        <v>8</v>
      </c>
    </row>
    <row r="471" spans="1:7" ht="13.2" x14ac:dyDescent="0.25">
      <c r="A471" s="93">
        <v>44397</v>
      </c>
      <c r="B471" s="89">
        <v>1203</v>
      </c>
      <c r="C471" s="59">
        <f>153686.5/1000</f>
        <v>153.6865</v>
      </c>
      <c r="D471" s="94">
        <f ca="1">IFERROR(__xludf.DUMMYFUNCTION("C465*IMPORTRANGE(""https://docs.google.com/spreadsheets/d/1xsp01RMmkav9iTy39Zaj_7tE9677EGlOJ14KU9TZn7I"",""H708"")"),134.686238005)</f>
        <v>134.68623800500001</v>
      </c>
      <c r="E471" s="94">
        <f ca="1">IFERROR(__xludf.DUMMYFUNCTION("C465*IMPORTRANGE(""https://docs.google.com/spreadsheets/d/1xsp01RMmkav9iTy39Zaj_7tE9677EGlOJ14KU9TZn7I"",""T708"")"),121.924111044999)</f>
        <v>121.92411104499899</v>
      </c>
      <c r="F471" s="94">
        <f ca="1">IFERROR(__xludf.DUMMYFUNCTION("C465*IMPORTRANGE(""https://docs.google.com/spreadsheets/d/1xsp01RMmkav9iTy39Zaj_7tE9677EGlOJ14KU9TZn7I"",""AC708"")"),16474.5780539999)</f>
        <v>16474.5780539999</v>
      </c>
      <c r="G471" s="57" t="s">
        <v>8</v>
      </c>
    </row>
    <row r="472" spans="1:7" ht="13.2" x14ac:dyDescent="0.25">
      <c r="A472" s="95">
        <v>44428</v>
      </c>
      <c r="B472" s="90">
        <v>1112</v>
      </c>
      <c r="C472" s="74">
        <f>203325.3/1000</f>
        <v>203.3253</v>
      </c>
      <c r="D472" s="96">
        <f ca="1">IFERROR(__xludf.DUMMYFUNCTION("C466*IMPORTRANGE(""https://docs.google.com/spreadsheets/d/1xsp01RMmkav9iTy39Zaj_7tE9677EGlOJ14KU9TZn7I"",""H730"")"),172.023370065)</f>
        <v>172.02337006499999</v>
      </c>
      <c r="E472" s="96">
        <f ca="1">IFERROR(__xludf.DUMMYFUNCTION("C466*IMPORTRANGE(""https://docs.google.com/spreadsheets/d/1xsp01RMmkav9iTy39Zaj_7tE9677EGlOJ14KU9TZn7I"",""T730"")"),155.1272409603)</f>
        <v>155.12724096030001</v>
      </c>
      <c r="F472" s="96">
        <f ca="1">IFERROR(__xludf.DUMMYFUNCTION("C466*IMPORTRANGE(""https://docs.google.com/spreadsheets/d/1xsp01RMmkav9iTy39Zaj_7tE9677EGlOJ14KU9TZn7I"",""AC730"")"),21550.8551976)</f>
        <v>21550.855197600002</v>
      </c>
      <c r="G472" s="72" t="s">
        <v>8</v>
      </c>
    </row>
    <row r="473" spans="1:7" ht="13.2" x14ac:dyDescent="0.25">
      <c r="A473" s="57" t="s">
        <v>425</v>
      </c>
      <c r="B473" s="89">
        <v>1352</v>
      </c>
      <c r="C473" s="59">
        <f>365224.6/1000</f>
        <v>365.22459999999995</v>
      </c>
      <c r="D473" s="94">
        <f ca="1">IFERROR(__xludf.DUMMYFUNCTION("C467*IMPORTRANGE(""https://docs.google.com/spreadsheets/d/1xsp01RMmkav9iTy39Zaj_7tE9677EGlOJ14KU9TZn7I"",""H753"")"),308.908792803)</f>
        <v>308.90879280299998</v>
      </c>
      <c r="E473" s="94">
        <f ca="1">IFERROR(__xludf.DUMMYFUNCTION("C467*IMPORTRANGE(""https://docs.google.com/spreadsheets/d/1xsp01RMmkav9iTy39Zaj_7tE9677EGlOJ14KU9TZn7I"",""T753"")"),282.928540881999)</f>
        <v>282.92854088199903</v>
      </c>
      <c r="F473" s="94">
        <f ca="1">IFERROR(__xludf.DUMMYFUNCTION("C467*IMPORTRANGE(""https://docs.google.com/spreadsheets/d/1xsp01RMmkav9iTy39Zaj_7tE9677EGlOJ14KU9TZn7I"",""AC753"")"),38600.4053616999)</f>
        <v>38600.405361699901</v>
      </c>
      <c r="G473" s="57" t="s">
        <v>8</v>
      </c>
    </row>
    <row r="474" spans="1:7" ht="13.2" x14ac:dyDescent="0.25">
      <c r="A474" s="95">
        <v>44489</v>
      </c>
      <c r="B474" s="90">
        <v>1451</v>
      </c>
      <c r="C474" s="74">
        <f>315296.1/1000</f>
        <v>315.29609999999997</v>
      </c>
      <c r="D474" s="96">
        <f ca="1">IFERROR(__xludf.DUMMYFUNCTION("C468*IMPORTRANGE(""https://docs.google.com/spreadsheets/d/1xsp01RMmkav9iTy39Zaj_7tE9677EGlOJ14KU9TZn7I"",""H776"")"),267.9439858137)</f>
        <v>267.94398581370001</v>
      </c>
      <c r="E474" s="96">
        <f ca="1">IFERROR(__xludf.DUMMYFUNCTION("C468*IMPORTRANGE(""https://docs.google.com/spreadsheets/d/1xsp01RMmkav9iTy39Zaj_7tE9677EGlOJ14KU9TZn7I"",""T776"")"),243.446424732)</f>
        <v>243.446424732</v>
      </c>
      <c r="F474" s="96">
        <f ca="1">IFERROR(__xludf.DUMMYFUNCTION("C468*IMPORTRANGE(""https://docs.google.com/spreadsheets/d/1xsp01RMmkav9iTy39Zaj_7tE9677EGlOJ14KU9TZn7I"",""AC776"")"),33244.5054878999)</f>
        <v>33244.5054878999</v>
      </c>
      <c r="G474" s="72" t="s">
        <v>8</v>
      </c>
    </row>
    <row r="475" spans="1:7" ht="13.2" x14ac:dyDescent="0.25">
      <c r="A475" s="93">
        <v>44520</v>
      </c>
      <c r="B475" s="89">
        <v>1603</v>
      </c>
      <c r="C475" s="59">
        <f>298718.9/1000</f>
        <v>298.71890000000002</v>
      </c>
      <c r="D475" s="94">
        <f ca="1">IFERROR(__xludf.DUMMYFUNCTION("C469*IMPORTRANGE(""https://docs.google.com/spreadsheets/d/1xsp01RMmkav9iTy39Zaj_7tE9677EGlOJ14KU9TZn7I"",""H798"")"),252.184469758)</f>
        <v>252.18446975800001</v>
      </c>
      <c r="E475" s="94">
        <f ca="1">IFERROR(__xludf.DUMMYFUNCTION("C469*IMPORTRANGE(""https://docs.google.com/spreadsheets/d/1xsp01RMmkav9iTy39Zaj_7tE9677EGlOJ14KU9TZn7I"",""T798"")"),225.888244991)</f>
        <v>225.88824499099999</v>
      </c>
      <c r="F475" s="94">
        <f ca="1">IFERROR(__xludf.DUMMYFUNCTION("C469*IMPORTRANGE(""https://docs.google.com/spreadsheets/d/1xsp01RMmkav9iTy39Zaj_7tE9677EGlOJ14KU9TZn7I"",""AC798"")"),31220.0083957)</f>
        <v>31220.008395699999</v>
      </c>
      <c r="G475" s="57" t="s">
        <v>8</v>
      </c>
    </row>
    <row r="476" spans="1:7" ht="13.2" x14ac:dyDescent="0.25">
      <c r="A476" s="97">
        <v>44550</v>
      </c>
      <c r="B476" s="91">
        <v>1887</v>
      </c>
      <c r="C476" s="78">
        <f>353878.6/1000</f>
        <v>353.87859999999995</v>
      </c>
      <c r="D476" s="98">
        <f ca="1">IFERROR(__xludf.DUMMYFUNCTION("C470*IMPORTRANGE(""https://docs.google.com/spreadsheets/d/1xsp01RMmkav9iTy39Zaj_7tE9677EGlOJ14KU9TZn7I"",""H822"")"),291.1550336644)</f>
        <v>291.15503366439998</v>
      </c>
      <c r="E476" s="98">
        <f ca="1">IFERROR(__xludf.DUMMYFUNCTION("C470*IMPORTRANGE(""https://docs.google.com/spreadsheets/d/1xsp01RMmkav9iTy39Zaj_7tE9677EGlOJ14KU9TZn7I"",""T822"")"),263.643095785999)</f>
        <v>263.64309578599898</v>
      </c>
      <c r="F476" s="98">
        <f ca="1">IFERROR(__xludf.DUMMYFUNCTION("C470*IMPORTRANGE(""https://docs.google.com/spreadsheets/d/1xsp01RMmkav9iTy39Zaj_7tE9677EGlOJ14KU9TZn7I"",""AC822"")"),36693.3181553999)</f>
        <v>36693.318155399902</v>
      </c>
      <c r="G476" s="76" t="s">
        <v>8</v>
      </c>
    </row>
    <row r="477" spans="1:7" ht="13.2" x14ac:dyDescent="0.25">
      <c r="A477" s="68">
        <v>2021</v>
      </c>
      <c r="B477" s="69"/>
      <c r="C477" s="92"/>
      <c r="D477" s="92"/>
      <c r="E477" s="92"/>
      <c r="F477" s="92"/>
      <c r="G477" s="68"/>
    </row>
    <row r="478" spans="1:7" ht="13.2" x14ac:dyDescent="0.25">
      <c r="A478" s="93">
        <v>44947</v>
      </c>
      <c r="B478" s="89">
        <v>1526</v>
      </c>
      <c r="C478" s="59">
        <f>285302.9/1000</f>
        <v>285.30290000000002</v>
      </c>
      <c r="D478" s="94">
        <f ca="1">IFERROR(__xludf.DUMMYFUNCTION("C472*IMPORTRANGE(""https://docs.google.com/spreadsheets/d/1xsp01RMmkav9iTy39Zaj_7tE9677EGlOJ14KU9TZn7I"",""H845"")"),234.5663440814)</f>
        <v>234.56634408139999</v>
      </c>
      <c r="E478" s="94">
        <f ca="1">IFERROR(__xludf.DUMMYFUNCTION("C472*IMPORTRANGE(""https://docs.google.com/spreadsheets/d/1xsp01RMmkav9iTy39Zaj_7tE9677EGlOJ14KU9TZn7I"",""T845"")"),208.730454669)</f>
        <v>208.73045466900001</v>
      </c>
      <c r="F478" s="94">
        <f ca="1">IFERROR(__xludf.DUMMYFUNCTION("C472*IMPORTRANGE(""https://docs.google.com/spreadsheets/d/1xsp01RMmkav9iTy39Zaj_7tE9677EGlOJ14KU9TZn7I"",""AC845"")"),29603.028904)</f>
        <v>29603.028903999999</v>
      </c>
      <c r="G478" s="57" t="s">
        <v>8</v>
      </c>
    </row>
    <row r="479" spans="1:7" ht="13.2" x14ac:dyDescent="0.25">
      <c r="A479" s="95">
        <v>44978</v>
      </c>
      <c r="B479" s="90">
        <v>1325</v>
      </c>
      <c r="C479" s="74">
        <f>295308.6/1000</f>
        <v>295.30859999999996</v>
      </c>
      <c r="D479" s="96">
        <f ca="1">IFERROR(__xludf.DUMMYFUNCTION("C473*IMPORTRANGE(""https://docs.google.com/spreadsheets/d/1xsp01RMmkav9iTy39Zaj_7tE9677EGlOJ14KU9TZn7I"",""H866"")"),243.6419979612)</f>
        <v>243.64199796119999</v>
      </c>
      <c r="E479" s="96">
        <f ca="1">IFERROR(__xludf.DUMMYFUNCTION("C473*IMPORTRANGE(""https://docs.google.com/spreadsheets/d/1xsp01RMmkav9iTy39Zaj_7tE9677EGlOJ14KU9TZn7I"",""T866"")"),213.227574629999)</f>
        <v>213.227574629999</v>
      </c>
      <c r="F479" s="96">
        <f ca="1">IFERROR(__xludf.DUMMYFUNCTION("C473*IMPORTRANGE(""https://docs.google.com/spreadsheets/d/1xsp01RMmkav9iTy39Zaj_7tE9677EGlOJ14KU9TZn7I"",""AC866"")"),31080.1965698999)</f>
        <v>31080.196569899901</v>
      </c>
      <c r="G479" s="72" t="s">
        <v>8</v>
      </c>
    </row>
    <row r="480" spans="1:7" ht="13.2" x14ac:dyDescent="0.25">
      <c r="A480" s="93">
        <v>45006</v>
      </c>
      <c r="B480" s="89">
        <v>1758</v>
      </c>
      <c r="C480" s="59">
        <f>346568.1/1000</f>
        <v>346.56809999999996</v>
      </c>
      <c r="D480" s="94">
        <f ca="1">IFERROR(__xludf.DUMMYFUNCTION("C474*IMPORTRANGE(""https://docs.google.com/spreadsheets/d/1xsp01RMmkav9iTy39Zaj_7tE9677EGlOJ14KU9TZn7I"",""H890"")"),290.607748892999)</f>
        <v>290.60774889299898</v>
      </c>
      <c r="E480" s="94">
        <f ca="1">IFERROR(__xludf.DUMMYFUNCTION("C474*IMPORTRANGE(""https://docs.google.com/spreadsheets/d/1xsp01RMmkav9iTy39Zaj_7tE9677EGlOJ14KU9TZn7I"",""T890"")"),249.435458612999)</f>
        <v>249.43545861299901</v>
      </c>
      <c r="F480" s="94">
        <f ca="1">IFERROR(__xludf.DUMMYFUNCTION("C474*IMPORTRANGE(""https://docs.google.com/spreadsheets/d/1xsp01RMmkav9iTy39Zaj_7tE9677EGlOJ14KU9TZn7I"",""AC890"")"),37703.1435989999)</f>
        <v>37703.143598999901</v>
      </c>
      <c r="G480" s="57" t="s">
        <v>8</v>
      </c>
    </row>
    <row r="481" spans="1:11" ht="13.2" x14ac:dyDescent="0.25">
      <c r="A481" s="95">
        <v>45037</v>
      </c>
      <c r="B481" s="100">
        <v>1482</v>
      </c>
      <c r="C481" s="74">
        <f>365735.1/1000</f>
        <v>365.73509999999999</v>
      </c>
      <c r="D481" s="96">
        <f ca="1">IFERROR(__xludf.DUMMYFUNCTION("B475*IMPORTRANGE(""https://docs.google.com/spreadsheets/d/1xsp01RMmkav9iTy39Zaj_7tE9677EGlOJ14KU9TZn7I"",""H913"")"),1238.03316)</f>
        <v>1238.03316</v>
      </c>
      <c r="E481" s="96">
        <f ca="1">IFERROR(__xludf.DUMMYFUNCTION("B475*IMPORTRANGE(""https://docs.google.com/spreadsheets/d/1xsp01RMmkav9iTy39Zaj_7tE9677EGlOJ14KU9TZn7I"",""T913"")"),1071.3378)</f>
        <v>1071.3378</v>
      </c>
      <c r="F481" s="96">
        <f ca="1">IFERROR(__xludf.DUMMYFUNCTION("B475*IMPORTRANGE(""https://docs.google.com/spreadsheets/d/1xsp01RMmkav9iTy39Zaj_7tE9677EGlOJ14KU9TZn7I"",""AC913"")"),161388.318)</f>
        <v>161388.318</v>
      </c>
      <c r="G481" s="72" t="s">
        <v>8</v>
      </c>
    </row>
    <row r="482" spans="1:11" ht="13.2" x14ac:dyDescent="0.25">
      <c r="A482" s="93">
        <v>45067</v>
      </c>
      <c r="B482" s="89">
        <v>1523</v>
      </c>
      <c r="C482" s="59">
        <f>370413.8/1000</f>
        <v>370.41379999999998</v>
      </c>
      <c r="D482" s="94">
        <f ca="1">IFERROR(__xludf.DUMMYFUNCTION("C476*IMPORTRANGE(""https://docs.google.com/spreadsheets/d/1xsp01RMmkav9iTy39Zaj_7tE9677EGlOJ14KU9TZn7I"",""H935"")"),304.694983603999)</f>
        <v>304.69498360399899</v>
      </c>
      <c r="E482" s="94">
        <f ca="1">IFERROR(__xludf.DUMMYFUNCTION("C476*IMPORTRANGE(""https://docs.google.com/spreadsheets/d/1xsp01RMmkav9iTy39Zaj_7tE9677EGlOJ14KU9TZn7I"",""t935"")"),262.404840058)</f>
        <v>262.40484005799999</v>
      </c>
      <c r="F482" s="94">
        <f ca="1">IFERROR(__xludf.DUMMYFUNCTION("C476*IMPORTRANGE(""https://docs.google.com/spreadsheets/d/1xsp01RMmkav9iTy39Zaj_7tE9677EGlOJ14KU9TZn7I"",""AC935"")"),40438.0745459999)</f>
        <v>40438.074545999902</v>
      </c>
      <c r="G482" s="57" t="s">
        <v>8</v>
      </c>
    </row>
    <row r="483" spans="1:11" ht="13.2" x14ac:dyDescent="0.25">
      <c r="A483" s="95">
        <v>45098</v>
      </c>
      <c r="B483" s="90">
        <v>1719</v>
      </c>
      <c r="C483" s="74">
        <f>307788.1/1000</f>
        <v>307.78809999999999</v>
      </c>
      <c r="D483" s="96">
        <f ca="1">IFERROR(__xludf.DUMMYFUNCTION("C477*IMPORTRANGE(""https://docs.google.com/spreadsheets/d/1xsp01RMmkav9iTy39Zaj_7tE9677EGlOJ14KU9TZn7I"",""H958"")"),254.029830453999)</f>
        <v>254.02983045399901</v>
      </c>
      <c r="E483" s="96">
        <f ca="1">IFERROR(__xludf.DUMMYFUNCTION("C477*IMPORTRANGE(""https://docs.google.com/spreadsheets/d/1xsp01RMmkav9iTy39Zaj_7tE9677EGlOJ14KU9TZn7I"",""t958"")"),218.3556507235)</f>
        <v>218.35565072349999</v>
      </c>
      <c r="F483" s="96">
        <f ca="1">IFERROR(__xludf.DUMMYFUNCTION("C477*IMPORTRANGE(""https://docs.google.com/spreadsheets/d/1xsp01RMmkav9iTy39Zaj_7tE9677EGlOJ14KU9TZn7I"",""AC958"")"),33900.55080425)</f>
        <v>33900.550804250001</v>
      </c>
      <c r="G483" s="72" t="s">
        <v>8</v>
      </c>
    </row>
    <row r="484" spans="1:11" ht="13.2" x14ac:dyDescent="0.25">
      <c r="A484" s="93">
        <v>45128</v>
      </c>
      <c r="B484" s="89">
        <v>1679</v>
      </c>
      <c r="C484" s="59">
        <f>359813.3/1000</f>
        <v>359.81329999999997</v>
      </c>
      <c r="D484" s="94">
        <f ca="1">IFERROR(__xludf.DUMMYFUNCTION("C478*IMPORTRANGE(""https://docs.google.com/spreadsheets/d/1xsp01RMmkav9iTy39Zaj_7tE9677EGlOJ14KU9TZn7I"",""H981"")"),304.312098474999)</f>
        <v>304.312098474999</v>
      </c>
      <c r="E484" s="94">
        <f ca="1">IFERROR(__xludf.DUMMYFUNCTION("C478*IMPORTRANGE(""https://docs.google.com/spreadsheets/d/1xsp01RMmkav9iTy39Zaj_7tE9677EGlOJ14KU9TZn7I"",""t981"")"),260.4022824095)</f>
        <v>260.4022824095</v>
      </c>
      <c r="F484" s="94">
        <f ca="1">IFERROR(__xludf.DUMMYFUNCTION("C478*IMPORTRANGE(""https://docs.google.com/spreadsheets/d/1xsp01RMmkav9iTy39Zaj_7tE9677EGlOJ14KU9TZn7I"",""AC981"")"),39664.0191254999)</f>
        <v>39664.019125499901</v>
      </c>
      <c r="G484" s="57" t="s">
        <v>8</v>
      </c>
    </row>
    <row r="485" spans="1:11" ht="13.2" x14ac:dyDescent="0.25">
      <c r="A485" s="95">
        <v>45159</v>
      </c>
      <c r="B485" s="90">
        <v>1472</v>
      </c>
      <c r="C485" s="74">
        <f>292312.7/1000</f>
        <v>292.31270000000001</v>
      </c>
      <c r="D485" s="96">
        <f ca="1">IFERROR(__xludf.DUMMYFUNCTION("C479*IMPORTRANGE(""https://docs.google.com/spreadsheets/d/1xsp01RMmkav9iTy39Zaj_7tE9677EGlOJ14KU9TZn7I"",""H1004"")"),248.676260144)</f>
        <v>248.676260144</v>
      </c>
      <c r="E485" s="96">
        <f ca="1">IFERROR(__xludf.DUMMYFUNCTION("C479*IMPORTRANGE(""https://docs.google.com/spreadsheets/d/1xsp01RMmkav9iTy39Zaj_7tE9677EGlOJ14KU9TZn7I"",""t1004"")"),211.456084053)</f>
        <v>211.45608405300001</v>
      </c>
      <c r="F485" s="96">
        <f ca="1">IFERROR(__xludf.DUMMYFUNCTION("C479*IMPORTRANGE(""https://docs.google.com/spreadsheets/d/1xsp01RMmkav9iTy39Zaj_7tE9677EGlOJ14KU9TZn7I"",""AC1004"")"),32097.1037108)</f>
        <v>32097.103710799998</v>
      </c>
      <c r="G485" s="72" t="s">
        <v>8</v>
      </c>
    </row>
    <row r="486" spans="1:11" ht="13.2" x14ac:dyDescent="0.25">
      <c r="A486" s="93">
        <v>45190</v>
      </c>
      <c r="B486" s="89">
        <v>1505</v>
      </c>
      <c r="C486" s="59">
        <f>240899.3/1000</f>
        <v>240.89929999999998</v>
      </c>
      <c r="D486" s="94">
        <f ca="1">IFERROR(__xludf.DUMMYFUNCTION("C480*IMPORTRANGE(""https://docs.google.com/spreadsheets/d/1xsp01RMmkav9iTy39Zaj_7tE9677EGlOJ14KU9TZn7I"",""H1027"")"),204.020026163)</f>
        <v>204.02002616300001</v>
      </c>
      <c r="E486" s="94">
        <f ca="1">IFERROR(__xludf.DUMMYFUNCTION("C480*IMPORTRANGE(""https://docs.google.com/spreadsheets/d/1xsp01RMmkav9iTy39Zaj_7tE9677EGlOJ14KU9TZn7I"",""t1027"")"),174.949503135499)</f>
        <v>174.94950313549899</v>
      </c>
      <c r="F486" s="94">
        <f ca="1">IFERROR(__xludf.DUMMYFUNCTION("C480*IMPORTRANGE(""https://docs.google.com/spreadsheets/d/1xsp01RMmkav9iTy39Zaj_7tE9677EGlOJ14KU9TZn7I"",""AC1027"")"),26488.8052293999)</f>
        <v>26488.805229399899</v>
      </c>
      <c r="G486" s="57" t="s">
        <v>8</v>
      </c>
    </row>
    <row r="487" spans="1:11" ht="13.2" x14ac:dyDescent="0.25">
      <c r="A487" s="95">
        <v>45220</v>
      </c>
      <c r="B487" s="90">
        <v>1493</v>
      </c>
      <c r="C487" s="74">
        <f>201843.7/1000</f>
        <v>201.84370000000001</v>
      </c>
      <c r="D487" s="96">
        <f ca="1">IFERROR(__xludf.DUMMYFUNCTION("C481*IMPORTRANGE(""https://docs.google.com/spreadsheets/d/1xsp01RMmkav9iTy39Zaj_7tE9677EGlOJ14KU9TZn7I"",""H1049"")"),174.00945377)</f>
        <v>174.00945376999999</v>
      </c>
      <c r="E487" s="96">
        <f ca="1">IFERROR(__xludf.DUMMYFUNCTION("C481*IMPORTRANGE(""https://docs.google.com/spreadsheets/d/1xsp01RMmkav9iTy39Zaj_7tE9677EGlOJ14KU9TZn7I"",""t1049"")"),147.662795609)</f>
        <v>147.662795609</v>
      </c>
      <c r="F487" s="96">
        <f ca="1">IFERROR(__xludf.DUMMYFUNCTION("C481*IMPORTRANGE(""https://docs.google.com/spreadsheets/d/1xsp01RMmkav9iTy39Zaj_7tE9677EGlOJ14KU9TZn7I"",""AC1049"")"),22932.6738192)</f>
        <v>22932.673819200001</v>
      </c>
      <c r="G487" s="72" t="s">
        <v>8</v>
      </c>
    </row>
    <row r="488" spans="1:11" ht="13.2" x14ac:dyDescent="0.25">
      <c r="A488" s="93">
        <v>45251</v>
      </c>
      <c r="B488" s="89">
        <v>1587</v>
      </c>
      <c r="C488" s="59">
        <f>382471.3/1000</f>
        <v>382.47129999999999</v>
      </c>
      <c r="D488" s="94">
        <f ca="1">IFERROR(__xludf.DUMMYFUNCTION("C482*IMPORTRANGE(""https://docs.google.com/spreadsheets/d/1xsp01RMmkav9iTy39Zaj_7tE9677EGlOJ14KU9TZn7I"",""H1072"")"),335.3565729095)</f>
        <v>335.35657290950002</v>
      </c>
      <c r="E488" s="94">
        <f ca="1">IFERROR(__xludf.DUMMYFUNCTION("C482*IMPORTRANGE(""https://docs.google.com/spreadsheets/d/1xsp01RMmkav9iTy39Zaj_7tE9677EGlOJ14KU9TZn7I"",""t1072"")"),284.7976917625)</f>
        <v>284.79769176249999</v>
      </c>
      <c r="F488" s="94">
        <f ca="1">IFERROR(__xludf.DUMMYFUNCTION("C482*IMPORTRANGE(""https://docs.google.com/spreadsheets/d/1xsp01RMmkav9iTy39Zaj_7tE9677EGlOJ14KU9TZn7I"",""AC1072"")"),43633.0908466)</f>
        <v>43633.090846599996</v>
      </c>
      <c r="G488" s="57" t="s">
        <v>8</v>
      </c>
    </row>
    <row r="489" spans="1:11" ht="13.2" x14ac:dyDescent="0.25">
      <c r="A489" s="97">
        <v>45281</v>
      </c>
      <c r="B489" s="91">
        <v>1961</v>
      </c>
      <c r="C489" s="78">
        <f>264360.2/1000</f>
        <v>264.36020000000002</v>
      </c>
      <c r="D489" s="98">
        <f ca="1">IFERROR(__xludf.DUMMYFUNCTION("C483*IMPORTRANGE(""https://docs.google.com/spreadsheets/d/1xsp01RMmkav9iTy39Zaj_7tE9677EGlOJ14KU9TZn7I"",""H1096"")"),233.702347606)</f>
        <v>233.70234760599999</v>
      </c>
      <c r="E489" s="98">
        <f ca="1">IFERROR(__xludf.DUMMYFUNCTION("C483*IMPORTRANGE(""https://docs.google.com/spreadsheets/d/1xsp01RMmkav9iTy39Zaj_7tE9677EGlOJ14KU9TZn7I"",""t1096"")"),199.22184672)</f>
        <v>199.22184672</v>
      </c>
      <c r="F489" s="98">
        <f ca="1">IFERROR(__xludf.DUMMYFUNCTION("C483*IMPORTRANGE(""https://docs.google.com/spreadsheets/d/1xsp01RMmkav9iTy39Zaj_7tE9677EGlOJ14KU9TZn7I"",""AC1096"")"),30047.9734126)</f>
        <v>30047.9734126</v>
      </c>
      <c r="G489" s="76" t="s">
        <v>8</v>
      </c>
    </row>
    <row r="490" spans="1:11" ht="13.2" x14ac:dyDescent="0.25">
      <c r="A490" s="68">
        <v>2022</v>
      </c>
      <c r="B490" s="69"/>
      <c r="C490" s="92"/>
      <c r="D490" s="92"/>
      <c r="E490" s="92"/>
      <c r="F490" s="92"/>
      <c r="G490" s="68"/>
      <c r="I490" s="36" t="s">
        <v>426</v>
      </c>
      <c r="J490" s="109" t="s">
        <v>1</v>
      </c>
      <c r="K490" s="110" t="s">
        <v>427</v>
      </c>
    </row>
    <row r="491" spans="1:11" ht="13.2" x14ac:dyDescent="0.25">
      <c r="A491" s="93">
        <v>44948</v>
      </c>
      <c r="B491" s="89">
        <v>1664</v>
      </c>
      <c r="C491" s="59">
        <f>257952.2/1000</f>
        <v>257.9522</v>
      </c>
      <c r="D491" s="94">
        <f ca="1">IFERROR(__xludf.DUMMYFUNCTION("C485*IMPORTRANGE(""https://docs.google.com/spreadsheets/d/1xsp01RMmkav9iTy39Zaj_7tE9677EGlOJ14KU9TZn7I"",""H1119"")"),227.678929808)</f>
        <v>227.67892980799999</v>
      </c>
      <c r="E491" s="94">
        <f ca="1">IFERROR(__xludf.DUMMYFUNCTION("C485*IMPORTRANGE(""https://docs.google.com/spreadsheets/d/1xsp01RMmkav9iTy39Zaj_7tE9677EGlOJ14KU9TZn7I"",""T1119"")"),190.288758418)</f>
        <v>190.28875841799999</v>
      </c>
      <c r="F491" s="94">
        <f ca="1">IFERROR(__xludf.DUMMYFUNCTION("C485*IMPORTRANGE(""https://docs.google.com/spreadsheets/d/1xsp01RMmkav9iTy39Zaj_7tE9677EGlOJ14KU9TZn7I"",""AC1119"")"),29592.5343362)</f>
        <v>29592.534336199999</v>
      </c>
      <c r="G491" s="57" t="s">
        <v>8</v>
      </c>
      <c r="I491" s="111"/>
      <c r="J491" s="112">
        <f t="shared" ref="J491:K491" si="0">SUM(B491:B501)</f>
        <v>14106</v>
      </c>
      <c r="K491" s="113">
        <f t="shared" si="0"/>
        <v>2288.6856000000002</v>
      </c>
    </row>
    <row r="492" spans="1:11" ht="13.2" x14ac:dyDescent="0.25">
      <c r="A492" s="95">
        <v>44979</v>
      </c>
      <c r="B492" s="90">
        <v>1313</v>
      </c>
      <c r="C492" s="74">
        <f>220022.5/1000</f>
        <v>220.02250000000001</v>
      </c>
      <c r="D492" s="96">
        <f ca="1">IFERROR(__xludf.DUMMYFUNCTION("C486*IMPORTRANGE(""https://docs.google.com/spreadsheets/d/1xsp01RMmkav9iTy39Zaj_7tE9677EGlOJ14KU9TZn7I"",""H1140"")"),193.9729361125)</f>
        <v>193.97293611250001</v>
      </c>
      <c r="E492" s="96">
        <f ca="1">IFERROR(__xludf.DUMMYFUNCTION("C486*IMPORTRANGE(""https://docs.google.com/spreadsheets/d/1xsp01RMmkav9iTy39Zaj_7tE9677EGlOJ14KU9TZn7I"",""T1140"")"),162.418409275)</f>
        <v>162.41840927499999</v>
      </c>
      <c r="F492" s="96">
        <f ca="1">IFERROR(__xludf.DUMMYFUNCTION("C486*IMPORTRANGE(""https://docs.google.com/spreadsheets/d/1xsp01RMmkav9iTy39Zaj_7tE9677EGlOJ14KU9TZn7I"",""AC1140"")"),25340.54138125)</f>
        <v>25340.541381250001</v>
      </c>
      <c r="G492" s="72" t="s">
        <v>8</v>
      </c>
      <c r="I492" s="2"/>
      <c r="J492" s="3"/>
      <c r="K492" s="4"/>
    </row>
    <row r="493" spans="1:11" ht="13.2" x14ac:dyDescent="0.25">
      <c r="A493" s="93">
        <v>45007</v>
      </c>
      <c r="B493" s="89">
        <v>1422</v>
      </c>
      <c r="C493" s="59">
        <f>225604.1/1000</f>
        <v>225.60410000000002</v>
      </c>
      <c r="D493" s="94">
        <f ca="1">IFERROR(__xludf.DUMMYFUNCTION("C487*IMPORTRANGE(""https://docs.google.com/spreadsheets/d/1xsp01RMmkav9iTy39Zaj_7tE9677EGlOJ14KU9TZn7I"",""H1164"")"),204.774073447)</f>
        <v>204.77407344700001</v>
      </c>
      <c r="E493" s="94">
        <f ca="1">IFERROR(__xludf.DUMMYFUNCTION("C487*IMPORTRANGE(""https://docs.google.com/spreadsheets/d/1xsp01RMmkav9iTy39Zaj_7tE9677EGlOJ14KU9TZn7I"",""T1164"")"),171.420763303)</f>
        <v>171.420763303</v>
      </c>
      <c r="F493" s="94">
        <f ca="1">IFERROR(__xludf.DUMMYFUNCTION("C487*IMPORTRANGE(""https://docs.google.com/spreadsheets/d/1xsp01RMmkav9iTy39Zaj_7tE9677EGlOJ14KU9TZn7I"",""AC1164"")"),26687.1601972)</f>
        <v>26687.160197199999</v>
      </c>
      <c r="G493" s="57" t="s">
        <v>8</v>
      </c>
      <c r="I493" s="2"/>
      <c r="J493" s="2"/>
      <c r="K493" s="4"/>
    </row>
    <row r="494" spans="1:11" ht="13.2" x14ac:dyDescent="0.25">
      <c r="A494" s="95">
        <v>45038</v>
      </c>
      <c r="B494" s="90">
        <v>1235</v>
      </c>
      <c r="C494" s="74">
        <f>358009.3/1000</f>
        <v>358.0093</v>
      </c>
      <c r="D494" s="96">
        <f ca="1">IFERROR(__xludf.DUMMYFUNCTION("C488*IMPORTRANGE(""https://docs.google.com/spreadsheets/d/1xsp01RMmkav9iTy39Zaj_7tE9677EGlOJ14KU9TZn7I"",""H1186"")"),330.413943155999)</f>
        <v>330.41394315599899</v>
      </c>
      <c r="E494" s="96">
        <f ca="1">IFERROR(__xludf.DUMMYFUNCTION("C488*IMPORTRANGE(""https://docs.google.com/spreadsheets/d/1xsp01RMmkav9iTy39Zaj_7tE9677EGlOJ14KU9TZn7I"",""T1186"")"),274.711276169)</f>
        <v>274.71127616899997</v>
      </c>
      <c r="F494" s="96">
        <f ca="1">IFERROR(__xludf.DUMMYFUNCTION("C488*IMPORTRANGE(""https://docs.google.com/spreadsheets/d/1xsp01RMmkav9iTy39Zaj_7tE9677EGlOJ14KU9TZn7I"",""AC1186"")"),45173.2554647)</f>
        <v>45173.2554647</v>
      </c>
      <c r="G494" s="72" t="s">
        <v>8</v>
      </c>
      <c r="I494" s="2"/>
      <c r="J494" s="2"/>
      <c r="K494" s="4"/>
    </row>
    <row r="495" spans="1:11" ht="13.2" x14ac:dyDescent="0.25">
      <c r="A495" s="93">
        <v>45068</v>
      </c>
      <c r="B495" s="89">
        <v>1316</v>
      </c>
      <c r="C495" s="59">
        <f>345456.3/1000</f>
        <v>345.4563</v>
      </c>
      <c r="D495" s="94">
        <f ca="1">IFERROR(__xludf.DUMMYFUNCTION("C489*IMPORTRANGE(""https://docs.google.com/spreadsheets/d/1xsp01RMmkav9iTy39Zaj_7tE9677EGlOJ14KU9TZn7I"",""H1209"")"),327.6393913275)</f>
        <v>327.63939132749999</v>
      </c>
      <c r="E495" s="94">
        <f ca="1">IFERROR(__xludf.DUMMYFUNCTION("C489*IMPORTRANGE(""https://docs.google.com/spreadsheets/d/1xsp01RMmkav9iTy39Zaj_7tE9677EGlOJ14KU9TZn7I"",""T1209"")"),276.5567682465)</f>
        <v>276.55676824649998</v>
      </c>
      <c r="F495" s="94">
        <f ca="1">IFERROR(__xludf.DUMMYFUNCTION("C489*IMPORTRANGE(""https://docs.google.com/spreadsheets/d/1xsp01RMmkav9iTy39Zaj_7tE9677EGlOJ14KU9TZn7I"",""AC1209"")"),44589.0810099)</f>
        <v>44589.081009900001</v>
      </c>
      <c r="G495" s="57" t="s">
        <v>8</v>
      </c>
      <c r="I495" s="2"/>
      <c r="J495" s="2"/>
      <c r="K495" s="4"/>
    </row>
    <row r="496" spans="1:11" ht="13.2" x14ac:dyDescent="0.25">
      <c r="A496" s="95">
        <v>45099</v>
      </c>
      <c r="B496" s="90">
        <v>1267</v>
      </c>
      <c r="C496" s="74">
        <f>133426.6/1000</f>
        <v>133.42660000000001</v>
      </c>
      <c r="D496" s="96">
        <f ca="1">IFERROR(__xludf.DUMMYFUNCTION("C490*IMPORTRANGE(""https://docs.google.com/spreadsheets/d/1xsp01RMmkav9iTy39Zaj_7tE9677EGlOJ14KU9TZn7I"",""H1232"")"),126.405025175)</f>
        <v>126.40502517500001</v>
      </c>
      <c r="E496" s="96">
        <f ca="1">IFERROR(__xludf.DUMMYFUNCTION("C490*IMPORTRANGE(""https://docs.google.com/spreadsheets/d/1xsp01RMmkav9iTy39Zaj_7tE9677EGlOJ14KU9TZn7I"",""T1232"")"),108.732004872)</f>
        <v>108.732004872</v>
      </c>
      <c r="F496" s="96">
        <f ca="1">IFERROR(__xludf.DUMMYFUNCTION("C490*IMPORTRANGE(""https://docs.google.com/spreadsheets/d/1xsp01RMmkav9iTy39Zaj_7tE9677EGlOJ14KU9TZn7I"",""AC1232"")"),17962.1557452)</f>
        <v>17962.155745200002</v>
      </c>
      <c r="G496" s="72" t="s">
        <v>8</v>
      </c>
      <c r="I496" s="2"/>
      <c r="J496" s="2"/>
      <c r="K496" s="4"/>
    </row>
    <row r="497" spans="1:11" ht="13.2" x14ac:dyDescent="0.25">
      <c r="A497" s="93">
        <v>45129</v>
      </c>
      <c r="B497" s="89">
        <v>1194</v>
      </c>
      <c r="C497" s="59">
        <f>116473.8/1000</f>
        <v>116.4738</v>
      </c>
      <c r="D497" s="94">
        <f ca="1">IFERROR(__xludf.DUMMYFUNCTION("C491*IMPORTRANGE(""https://docs.google.com/spreadsheets/d/1xsp01RMmkav9iTy39Zaj_7tE9677EGlOJ14KU9TZn7I"",""H1254"")"),114.34232946)</f>
        <v>114.34232946</v>
      </c>
      <c r="E497" s="94">
        <f ca="1">IFERROR(__xludf.DUMMYFUNCTION("C491*IMPORTRANGE(""https://docs.google.com/spreadsheets/d/1xsp01RMmkav9iTy39Zaj_7tE9677EGlOJ14KU9TZn7I"",""T1254"")"),97.09255968)</f>
        <v>97.092559679999994</v>
      </c>
      <c r="F497" s="94">
        <f ca="1">IFERROR(__xludf.DUMMYFUNCTION("C491*IMPORTRANGE(""https://docs.google.com/spreadsheets/d/1xsp01RMmkav9iTy39Zaj_7tE9677EGlOJ14KU9TZn7I"",""AC1254"")"),15890.6370078)</f>
        <v>15890.6370078</v>
      </c>
      <c r="G497" s="57" t="s">
        <v>8</v>
      </c>
      <c r="I497" s="2"/>
      <c r="J497" s="2"/>
      <c r="K497" s="4"/>
    </row>
    <row r="498" spans="1:11" ht="13.2" x14ac:dyDescent="0.25">
      <c r="A498" s="95">
        <v>45160</v>
      </c>
      <c r="B498" s="90">
        <v>1149</v>
      </c>
      <c r="C498" s="74">
        <f>143702/1000</f>
        <v>143.702</v>
      </c>
      <c r="D498" s="96">
        <f ca="1">IFERROR(__xludf.DUMMYFUNCTION("C492*IMPORTRANGE(""https://docs.google.com/spreadsheets/d/1xsp01RMmkav9iTy39Zaj_7tE9677EGlOJ14KU9TZn7I"",""H1278"")"),141.41139012)</f>
        <v>141.41139011999999</v>
      </c>
      <c r="E498" s="96">
        <f ca="1">IFERROR(__xludf.DUMMYFUNCTION("C492*IMPORTRANGE(""https://docs.google.com/spreadsheets/d/1xsp01RMmkav9iTy39Zaj_7tE9677EGlOJ14KU9TZn7I"",""T1278"")"),119.16057244)</f>
        <v>119.16057244</v>
      </c>
      <c r="F498" s="96">
        <f ca="1">IFERROR(__xludf.DUMMYFUNCTION("C492*IMPORTRANGE(""https://docs.google.com/spreadsheets/d/1xsp01RMmkav9iTy39Zaj_7tE9677EGlOJ14KU9TZn7I"",""AC1278"")"),19391.7226879999)</f>
        <v>19391.7226879999</v>
      </c>
      <c r="G498" s="72" t="s">
        <v>8</v>
      </c>
      <c r="I498" s="2"/>
      <c r="J498" s="2"/>
      <c r="K498" s="4"/>
    </row>
    <row r="499" spans="1:11" ht="13.2" x14ac:dyDescent="0.25">
      <c r="A499" s="93">
        <v>45191</v>
      </c>
      <c r="B499" s="89">
        <v>1209</v>
      </c>
      <c r="C499" s="59">
        <f>165985.1/1000</f>
        <v>165.98510000000002</v>
      </c>
      <c r="D499" s="94">
        <f ca="1">IFERROR(__xludf.DUMMYFUNCTION("C493*IMPORTRANGE(""https://docs.google.com/spreadsheets/d/1xsp01RMmkav9iTy39Zaj_7tE9677EGlOJ14KU9TZn7I"",""H1301"")"),166.625802486)</f>
        <v>166.625802486</v>
      </c>
      <c r="E499" s="94">
        <f ca="1">IFERROR(__xludf.DUMMYFUNCTION("C493*IMPORTRANGE(""https://docs.google.com/spreadsheets/d/1xsp01RMmkav9iTy39Zaj_7tE9677EGlOJ14KU9TZn7I"",""T1301"")"),144.7929523575)</f>
        <v>144.79295235750001</v>
      </c>
      <c r="F499" s="94">
        <f ca="1">IFERROR(__xludf.DUMMYFUNCTION("C493*IMPORTRANGE(""https://docs.google.com/spreadsheets/d/1xsp01RMmkav9iTy39Zaj_7tE9677EGlOJ14KU9TZn7I"",""AC1301"")"),23784.6689194)</f>
        <v>23784.668919399999</v>
      </c>
      <c r="G499" s="57" t="s">
        <v>8</v>
      </c>
      <c r="I499" s="2"/>
      <c r="J499" s="2"/>
      <c r="K499" s="4"/>
    </row>
    <row r="500" spans="1:11" ht="13.2" x14ac:dyDescent="0.25">
      <c r="A500" s="95">
        <v>45221</v>
      </c>
      <c r="B500" s="90">
        <v>1120</v>
      </c>
      <c r="C500" s="74">
        <f>150839.6/1000</f>
        <v>150.83960000000002</v>
      </c>
      <c r="D500" s="96">
        <f ca="1">IFERROR(__xludf.DUMMYFUNCTION("C494*IMPORTRANGE(""https://docs.google.com/spreadsheets/d/1xsp01RMmkav9iTy39Zaj_7tE9677EGlOJ14KU9TZn7I"",""H1323"")"),153.415940368)</f>
        <v>153.41594036800001</v>
      </c>
      <c r="E500" s="96">
        <f ca="1">IFERROR(__xludf.DUMMYFUNCTION("C494*IMPORTRANGE(""https://docs.google.com/spreadsheets/d/1xsp01RMmkav9iTy39Zaj_7tE9677EGlOJ14KU9TZn7I"",""T1323"")"),133.39500026)</f>
        <v>133.39500025999999</v>
      </c>
      <c r="F500" s="96">
        <f ca="1">IFERROR(__xludf.DUMMYFUNCTION("C494*IMPORTRANGE(""https://docs.google.com/spreadsheets/d/1xsp01RMmkav9iTy39Zaj_7tE9677EGlOJ14KU9TZn7I"",""AC1323"")"),22133.7503852)</f>
        <v>22133.750385200001</v>
      </c>
      <c r="G500" s="72" t="s">
        <v>8</v>
      </c>
      <c r="I500" s="2"/>
      <c r="J500" s="2"/>
      <c r="K500" s="4"/>
    </row>
    <row r="501" spans="1:11" ht="13.2" x14ac:dyDescent="0.25">
      <c r="A501" s="93">
        <v>45252</v>
      </c>
      <c r="B501" s="89">
        <v>1217</v>
      </c>
      <c r="C501" s="59">
        <f>171214.1/1000</f>
        <v>171.2141</v>
      </c>
      <c r="D501" s="94">
        <f ca="1">IFERROR(__xludf.DUMMYFUNCTION("C495*IMPORTRANGE(""https://docs.google.com/spreadsheets/d/1xsp01RMmkav9iTy39Zaj_7tE9677EGlOJ14KU9TZn7I"",""H1346"")"),165.9826531745)</f>
        <v>165.9826531745</v>
      </c>
      <c r="E501" s="94">
        <f ca="1">IFERROR(__xludf.DUMMYFUNCTION("C495*IMPORTRANGE(""https://docs.google.com/spreadsheets/d/1xsp01RMmkav9iTy39Zaj_7tE9677EGlOJ14KU9TZn7I"",""T1346"")"),144.93273565)</f>
        <v>144.93273565000001</v>
      </c>
      <c r="F501" s="94">
        <f ca="1">IFERROR(__xludf.DUMMYFUNCTION("C495*IMPORTRANGE(""https://docs.google.com/spreadsheets/d/1xsp01RMmkav9iTy39Zaj_7tE9677EGlOJ14KU9TZn7I"",""AC1346"")"),24104.12024735)</f>
        <v>24104.120247350002</v>
      </c>
      <c r="G501" s="57" t="s">
        <v>8</v>
      </c>
      <c r="I501" s="2"/>
      <c r="J501" s="2"/>
      <c r="K501" s="4"/>
    </row>
    <row r="502" spans="1:11" ht="13.2" x14ac:dyDescent="0.25">
      <c r="A502" s="97">
        <v>45282</v>
      </c>
      <c r="B502" s="91">
        <v>1367</v>
      </c>
      <c r="C502" s="78">
        <f>122931.6/1000</f>
        <v>122.9316</v>
      </c>
      <c r="D502" s="98">
        <f ca="1">IFERROR(__xludf.DUMMYFUNCTION("C496*IMPORTRANGE(""https://docs.google.com/spreadsheets/d/1xsp01RMmkav9iTy39Zaj_7tE9677EGlOJ14KU9TZn7I"",""H1369"")"),115.89991248)</f>
        <v>115.89991248</v>
      </c>
      <c r="E502" s="98">
        <f ca="1">IFERROR(__xludf.DUMMYFUNCTION("C496*IMPORTRANGE(""https://docs.google.com/spreadsheets/d/1xsp01RMmkav9iTy39Zaj_7tE9677EGlOJ14KU9TZn7I"",""T1369"")"),100.97294295)</f>
        <v>100.97294295</v>
      </c>
      <c r="F502" s="98">
        <f ca="1">IFERROR(__xludf.DUMMYFUNCTION("C496*IMPORTRANGE(""https://docs.google.com/spreadsheets/d/1xsp01RMmkav9iTy39Zaj_7tE9677EGlOJ14KU9TZn7I"",""AC1369"")"),16653.0521256)</f>
        <v>16653.052125599999</v>
      </c>
      <c r="G502" s="76" t="s">
        <v>8</v>
      </c>
      <c r="I502" s="2"/>
      <c r="J502" s="2"/>
      <c r="K502" s="4"/>
    </row>
    <row r="503" spans="1:11" ht="13.2" x14ac:dyDescent="0.25">
      <c r="A503" s="68"/>
      <c r="B503" s="69"/>
      <c r="C503" s="92"/>
      <c r="D503" s="92"/>
      <c r="E503" s="92"/>
      <c r="F503" s="92"/>
      <c r="G503" s="68"/>
      <c r="I503" s="36" t="s">
        <v>428</v>
      </c>
      <c r="J503" s="109" t="s">
        <v>1</v>
      </c>
      <c r="K503" s="114" t="s">
        <v>427</v>
      </c>
    </row>
    <row r="504" spans="1:11" ht="13.2" x14ac:dyDescent="0.25">
      <c r="A504" s="93">
        <v>44949</v>
      </c>
      <c r="B504" s="89">
        <v>1061</v>
      </c>
      <c r="C504" s="59">
        <f>84645.6/1000</f>
        <v>84.645600000000002</v>
      </c>
      <c r="D504" s="94">
        <f ca="1">IFERROR(__xludf.DUMMYFUNCTION("C498*IMPORTRANGE(""https://docs.google.com/spreadsheets/d/1xsp01RMmkav9iTy39Zaj_7tE9677EGlOJ14KU9TZn7I"",""H1393"")"),78.294217404)</f>
        <v>78.294217403999994</v>
      </c>
      <c r="E504" s="94">
        <f ca="1">IFERROR(__xludf.DUMMYFUNCTION("C498*IMPORTRANGE(""https://docs.google.com/spreadsheets/d/1xsp01RMmkav9iTy39Zaj_7tE9677EGlOJ14KU9TZn7I"",""T1393"")"),69.255337008)</f>
        <v>69.255337007999998</v>
      </c>
      <c r="F504" s="94">
        <f ca="1">IFERROR(__xludf.DUMMYFUNCTION("C498*IMPORTRANGE(""https://docs.google.com/spreadsheets/d/1xsp01RMmkav9iTy39Zaj_7tE9677EGlOJ14KU9TZn7I"",""AC1393"")"),11034.3158550456)</f>
        <v>11034.315855045599</v>
      </c>
      <c r="G504" s="57" t="s">
        <v>8</v>
      </c>
      <c r="I504" s="111"/>
      <c r="J504" s="112">
        <f t="shared" ref="J504:K504" si="1">SUM(B504:B514)</f>
        <v>10681</v>
      </c>
      <c r="K504" s="113">
        <f t="shared" si="1"/>
        <v>1514.6748</v>
      </c>
    </row>
    <row r="505" spans="1:11" ht="13.2" x14ac:dyDescent="0.25">
      <c r="A505" s="95">
        <v>44980</v>
      </c>
      <c r="B505" s="90">
        <v>1027</v>
      </c>
      <c r="C505" s="74">
        <f>158262.5/1000</f>
        <v>158.26249999999999</v>
      </c>
      <c r="D505" s="96">
        <f ca="1">IFERROR(__xludf.DUMMYFUNCTION("C499*IMPORTRANGE(""https://docs.google.com/spreadsheets/d/1xsp01RMmkav9iTy39Zaj_7tE9677EGlOJ14KU9TZn7I"",""H1414"")"),147.690565)</f>
        <v>147.69056499999999</v>
      </c>
      <c r="E505" s="96">
        <f ca="1">IFERROR(__xludf.DUMMYFUNCTION("C499*IMPORTRANGE(""https://docs.google.com/spreadsheets/d/1xsp01RMmkav9iTy39Zaj_7tE9677EGlOJ14KU9TZn7I"",""T1414"")"),131.300900499999)</f>
        <v>131.30090049999899</v>
      </c>
      <c r="F505" s="96">
        <f ca="1">IFERROR(__xludf.DUMMYFUNCTION("C499*IMPORTRANGE(""https://docs.google.com/spreadsheets/d/1xsp01RMmkav9iTy39Zaj_7tE9677EGlOJ14KU9TZn7I"",""AC1414"")"),21018.3678375)</f>
        <v>21018.367837500002</v>
      </c>
      <c r="G505" s="72" t="s">
        <v>8</v>
      </c>
    </row>
    <row r="506" spans="1:11" ht="13.2" x14ac:dyDescent="0.25">
      <c r="A506" s="93">
        <v>45008</v>
      </c>
      <c r="B506" s="89">
        <v>1071</v>
      </c>
      <c r="C506" s="59">
        <f>177997.4/1000</f>
        <v>177.9974</v>
      </c>
      <c r="D506" s="94">
        <f ca="1">IFERROR(__xludf.DUMMYFUNCTION("C500*IMPORTRANGE(""https://docs.google.com/spreadsheets/d/1xsp01RMmkav9iTy39Zaj_7tE9677EGlOJ14KU9TZn7I"",""H1438"")"),166.534367439999)</f>
        <v>166.53436743999899</v>
      </c>
      <c r="E506" s="94">
        <f ca="1">IFERROR(__xludf.DUMMYFUNCTION("C500*IMPORTRANGE(""https://docs.google.com/spreadsheets/d/1xsp01RMmkav9iTy39Zaj_7tE9677EGlOJ14KU9TZn7I"",""T1438"")"),146.47406046)</f>
        <v>146.47406046</v>
      </c>
      <c r="F506" s="94">
        <f ca="1">IFERROR(__xludf.DUMMYFUNCTION("C500*IMPORTRANGE(""https://docs.google.com/spreadsheets/d/1xsp01RMmkav9iTy39Zaj_7tE9677EGlOJ14KU9TZn7I"",""AC1438"")"),23709.4323893896)</f>
        <v>23709.4323893896</v>
      </c>
      <c r="G506" s="57" t="s">
        <v>8</v>
      </c>
    </row>
    <row r="507" spans="1:11" ht="13.2" x14ac:dyDescent="0.25">
      <c r="A507" s="95">
        <v>45039</v>
      </c>
      <c r="B507" s="90">
        <v>924</v>
      </c>
      <c r="C507" s="74">
        <f>176326.9/1000</f>
        <v>176.32689999999999</v>
      </c>
      <c r="D507" s="96">
        <f ca="1">IFERROR(__xludf.DUMMYFUNCTION("C501*IMPORTRANGE(""https://docs.google.com/spreadsheets/d/1xsp01RMmkav9iTy39Zaj_7tE9677EGlOJ14KU9TZn7I"",""H1459"")"),160.801316455)</f>
        <v>160.80131645500001</v>
      </c>
      <c r="E507" s="96">
        <f ca="1">IFERROR(__xludf.DUMMYFUNCTION("C501*IMPORTRANGE(""https://docs.google.com/spreadsheets/d/1xsp01RMmkav9iTy39Zaj_7tE9677EGlOJ14KU9TZn7I"",""T1459"")"),141.795304394349)</f>
        <v>141.79530439434899</v>
      </c>
      <c r="F507" s="96">
        <f ca="1">IFERROR(__xludf.DUMMYFUNCTION("C501*IMPORTRANGE(""https://docs.google.com/spreadsheets/d/1xsp01RMmkav9iTy39Zaj_7tE9677EGlOJ14KU9TZn7I"",""AC1459"")"),23545.1943893886)</f>
        <v>23545.194389388598</v>
      </c>
      <c r="G507" s="72" t="s">
        <v>8</v>
      </c>
    </row>
    <row r="508" spans="1:11" ht="13.2" x14ac:dyDescent="0.25">
      <c r="A508" s="99">
        <v>45069</v>
      </c>
      <c r="B508" s="89">
        <v>1003</v>
      </c>
      <c r="C508" s="59">
        <f>149193.7/1000</f>
        <v>149.19370000000001</v>
      </c>
      <c r="D508" s="94">
        <f ca="1">IFERROR(__xludf.DUMMYFUNCTION("C502*IMPORTRANGE(""https://docs.google.com/spreadsheets/d/1xsp01RMmkav9iTy39Zaj_7tE9677EGlOJ14KU9TZn7I"",""H1483"")"),137.307437921)</f>
        <v>137.307437921</v>
      </c>
      <c r="E508" s="94">
        <f ca="1">IFERROR(__xludf.DUMMYFUNCTION("C502*IMPORTRANGE(""https://docs.google.com/spreadsheets/d/1xsp01RMmkav9iTy39Zaj_7tE9677EGlOJ14KU9TZn7I"",""T1483"")"),119.5193714574)</f>
        <v>119.5193714574</v>
      </c>
      <c r="F508" s="94">
        <f ca="1">IFERROR(__xludf.DUMMYFUNCTION("C502*IMPORTRANGE(""https://docs.google.com/spreadsheets/d/1xsp01RMmkav9iTy39Zaj_7tE9677EGlOJ14KU9TZn7I"",""AC1483"")"),20359.8674642)</f>
        <v>20359.867464200001</v>
      </c>
      <c r="G508" s="57" t="s">
        <v>8</v>
      </c>
    </row>
    <row r="509" spans="1:11" ht="13.2" x14ac:dyDescent="0.25">
      <c r="A509" s="101">
        <v>45100</v>
      </c>
      <c r="B509" s="90">
        <v>1028</v>
      </c>
      <c r="C509" s="74">
        <f>119045.4/1000</f>
        <v>119.0454</v>
      </c>
      <c r="D509" s="96">
        <f ca="1">IFERROR(__xludf.DUMMYFUNCTION("C503*IMPORTRANGE(""https://docs.google.com/spreadsheets/d/1xsp01RMmkav9iTy39Zaj_7tE9677EGlOJ14KU9TZn7I"",""H1506"")"),109.786644015)</f>
        <v>109.78664401499999</v>
      </c>
      <c r="E509" s="96">
        <f ca="1">IFERROR(__xludf.DUMMYFUNCTION("C503*IMPORTRANGE(""https://docs.google.com/spreadsheets/d/1xsp01RMmkav9iTy39Zaj_7tE9677EGlOJ14KU9TZn7I"",""T1506"")"),94.246457499)</f>
        <v>94.246457499000002</v>
      </c>
      <c r="F509" s="96">
        <f ca="1">IFERROR(__xludf.DUMMYFUNCTION("C503*IMPORTRANGE(""https://docs.google.com/spreadsheets/d/1xsp01RMmkav9iTy39Zaj_7tE9677EGlOJ14KU9TZn7I"",""AC1506"")"),16694.6296396362)</f>
        <v>16694.629639636201</v>
      </c>
      <c r="G509" s="72" t="s">
        <v>8</v>
      </c>
    </row>
    <row r="510" spans="1:11" ht="13.2" x14ac:dyDescent="0.25">
      <c r="A510" s="93">
        <v>45130</v>
      </c>
      <c r="B510" s="89">
        <v>945</v>
      </c>
      <c r="C510" s="59">
        <f>101329.4/1000</f>
        <v>101.32939999999999</v>
      </c>
      <c r="D510" s="94">
        <f ca="1">IFERROR(__xludf.DUMMYFUNCTION("C504*IMPORTRANGE(""https://docs.google.com/spreadsheets/d/1xsp01RMmkav9iTy39Zaj_7tE9677EGlOJ14KU9TZn7I"",""H1528"")"),91.697027236)</f>
        <v>91.697027235999997</v>
      </c>
      <c r="E510" s="94">
        <f ca="1">IFERROR(__xludf.DUMMYFUNCTION("C504*IMPORTRANGE(""https://docs.google.com/spreadsheets/d/1xsp01RMmkav9iTy39Zaj_7tE9677EGlOJ14KU9TZn7I"",""T1528"")"),78.765369208)</f>
        <v>78.765369207999996</v>
      </c>
      <c r="F510" s="94">
        <f ca="1">IFERROR(__xludf.DUMMYFUNCTION("C504*IMPORTRANGE(""https://docs.google.com/spreadsheets/d/1xsp01RMmkav9iTy39Zaj_7tE9677EGlOJ14KU9TZn7I"",""AC1528"")"),14278.6291342235)</f>
        <v>14278.6291342235</v>
      </c>
      <c r="G510" s="57" t="s">
        <v>8</v>
      </c>
    </row>
    <row r="511" spans="1:11" ht="13.2" x14ac:dyDescent="0.25">
      <c r="A511" s="102">
        <v>45161</v>
      </c>
      <c r="B511" s="90">
        <v>910</v>
      </c>
      <c r="C511" s="74">
        <f>141115.9/1000</f>
        <v>141.11589999999998</v>
      </c>
      <c r="D511" s="96">
        <f ca="1">IFERROR(__xludf.DUMMYFUNCTION("C505*IMPORTRANGE(""https://docs.google.com/spreadsheets/d/1xsp01RMmkav9iTy39Zaj_7tE9677EGlOJ14KU9TZn7I"",""H1552"")"),129.346833939999)</f>
        <v>129.34683393999899</v>
      </c>
      <c r="E511" s="96">
        <f ca="1">IFERROR(__xludf.DUMMYFUNCTION("C505*IMPORTRANGE(""https://docs.google.com/spreadsheets/d/1xsp01RMmkav9iTy39Zaj_7tE9677EGlOJ14KU9TZn7I"",""T1552"")"),110.936853625999)</f>
        <v>110.93685362599901</v>
      </c>
      <c r="F511" s="96">
        <f ca="1">IFERROR(__xludf.DUMMYFUNCTION("C505*IMPORTRANGE(""https://docs.google.com/spreadsheets/d/1xsp01RMmkav9iTy39Zaj_7tE9677EGlOJ14KU9TZn7I"",""AC1552"")"),20504.8448616886)</f>
        <v>20504.844861688602</v>
      </c>
      <c r="G511" s="72" t="s">
        <v>8</v>
      </c>
    </row>
    <row r="512" spans="1:11" ht="13.2" x14ac:dyDescent="0.25">
      <c r="A512" s="93">
        <v>45192</v>
      </c>
      <c r="B512" s="58">
        <v>919</v>
      </c>
      <c r="C512" s="59">
        <f>111865.4/1000</f>
        <v>111.86539999999999</v>
      </c>
      <c r="D512" s="71">
        <f ca="1">IFERROR(__xludf.DUMMYFUNCTION("C506*IMPORTRANGE(""https://docs.google.com/spreadsheets/d/1xsp01RMmkav9iTy39Zaj_7tE9677EGlOJ14KU9TZn7I"",""H1574"")"),104.618759388)</f>
        <v>104.618759388</v>
      </c>
      <c r="E512" s="71">
        <f ca="1">IFERROR(__xludf.DUMMYFUNCTION("C506*IMPORTRANGE(""https://docs.google.com/spreadsheets/d/1xsp01RMmkav9iTy39Zaj_7tE9677EGlOJ14KU9TZn7I"",""T1574"")"),90.200427982)</f>
        <v>90.200427981999994</v>
      </c>
      <c r="F512" s="71">
        <f ca="1">IFERROR(__xludf.DUMMYFUNCTION("C506*IMPORTRANGE(""https://docs.google.com/spreadsheets/d/1xsp01RMmkav9iTy39Zaj_7tE9677EGlOJ14KU9TZn7I"",""AC1574"")"),16511.8919195384)</f>
        <v>16511.891919538401</v>
      </c>
      <c r="G512" s="57" t="s">
        <v>8</v>
      </c>
    </row>
    <row r="513" spans="1:7" ht="13.2" x14ac:dyDescent="0.25">
      <c r="A513" s="95">
        <v>45222</v>
      </c>
      <c r="B513" s="73">
        <v>887</v>
      </c>
      <c r="C513" s="74">
        <f>181708/1000</f>
        <v>181.708</v>
      </c>
      <c r="D513" s="74">
        <f ca="1">IFERROR(__xludf.DUMMYFUNCTION("C507*IMPORTRANGE(""https://docs.google.com/spreadsheets/d/1xsp01RMmkav9iTy39Zaj_7tE9677EGlOJ14KU9TZn7I"",""H1597"")"),171.97026828)</f>
        <v>171.97026828</v>
      </c>
      <c r="E513" s="74">
        <f ca="1">IFERROR(__xludf.DUMMYFUNCTION("C507*IMPORTRANGE(""https://docs.google.com/spreadsheets/d/1xsp01RMmkav9iTy39Zaj_7tE9677EGlOJ14KU9TZn7I"",""T1597"")"),149.39486636)</f>
        <v>149.39486636000001</v>
      </c>
      <c r="F513" s="74">
        <f ca="1">IFERROR(__xludf.DUMMYFUNCTION("C507*IMPORTRANGE(""https://docs.google.com/spreadsheets/d/1xsp01RMmkav9iTy39Zaj_7tE9677EGlOJ14KU9TZn7I"",""AC1597"")"),27208.502195124)</f>
        <v>27208.502195124001</v>
      </c>
      <c r="G513" s="72" t="s">
        <v>8</v>
      </c>
    </row>
    <row r="514" spans="1:7" ht="13.2" x14ac:dyDescent="0.25">
      <c r="A514" s="93">
        <v>45253</v>
      </c>
      <c r="B514" s="58">
        <v>906</v>
      </c>
      <c r="C514" s="59">
        <f>113184.6/1000</f>
        <v>113.1846</v>
      </c>
      <c r="D514" s="59">
        <f ca="1">IFERROR(__xludf.DUMMYFUNCTION("C508*IMPORTRANGE(""https://docs.google.com/spreadsheets/d/1xsp01RMmkav9iTy39Zaj_7tE9677EGlOJ14KU9TZn7I"",""H1620"")"),104.277537903)</f>
        <v>104.277537903</v>
      </c>
      <c r="E514" s="59">
        <f ca="1">IFERROR(__xludf.DUMMYFUNCTION("C508*IMPORTRANGE(""https://docs.google.com/spreadsheets/d/1xsp01RMmkav9iTy39Zaj_7tE9677EGlOJ14KU9TZn7I"",""T1620"")"),91.140767304)</f>
        <v>91.140767303999993</v>
      </c>
      <c r="F514" s="59">
        <f ca="1">IFERROR(__xludf.DUMMYFUNCTION("C508*IMPORTRANGE(""https://docs.google.com/spreadsheets/d/1xsp01RMmkav9iTy39Zaj_7tE9677EGlOJ14KU9TZn7I"",""AC1620"")"),16999.4776959462)</f>
        <v>16999.4776959462</v>
      </c>
      <c r="G514" s="57" t="s">
        <v>8</v>
      </c>
    </row>
    <row r="515" spans="1:7" ht="13.2" x14ac:dyDescent="0.25">
      <c r="A515" s="103">
        <v>45283</v>
      </c>
      <c r="B515" s="104">
        <v>917</v>
      </c>
      <c r="C515" s="78">
        <f>164732.4/1000</f>
        <v>164.73239999999998</v>
      </c>
      <c r="D515" s="78">
        <f ca="1">IFERROR(__xludf.DUMMYFUNCTION("C275*IMPORTRANGE(""https://docs.google.com/spreadsheets/d/1xsp01RMmkav9iTy39Zaj_7tE9677EGlOJ14KU9TZn7I"",""H1642"")"),187.040261899)</f>
        <v>187.040261899</v>
      </c>
      <c r="E515" s="78">
        <f ca="1">IFERROR(__xludf.DUMMYFUNCTION("C275*IMPORTRANGE(""https://docs.google.com/spreadsheets/d/1xsp01RMmkav9iTy39Zaj_7tE9677EGlOJ14KU9TZn7I"",""T1642"")"),161.071901119999)</f>
        <v>161.07190111999901</v>
      </c>
      <c r="F515" s="78">
        <f ca="1">IFERROR(__xludf.DUMMYFUNCTION("C275*IMPORTRANGE(""https://docs.google.com/spreadsheets/d/1xsp01RMmkav9iTy39Zaj_7tE9677EGlOJ14KU9TZn7I"",""AC1642"")"),29247.8765929735)</f>
        <v>29247.876592973498</v>
      </c>
      <c r="G515" s="76" t="s">
        <v>8</v>
      </c>
    </row>
    <row r="516" spans="1:7" ht="13.2" x14ac:dyDescent="0.25">
      <c r="A516" s="68"/>
      <c r="B516" s="69"/>
      <c r="C516" s="92"/>
      <c r="D516" s="92"/>
      <c r="E516" s="92"/>
      <c r="F516" s="92"/>
      <c r="G516" s="68"/>
    </row>
    <row r="517" spans="1:7" ht="13.2" x14ac:dyDescent="0.25">
      <c r="A517" s="105">
        <v>45322</v>
      </c>
      <c r="B517" s="58">
        <v>929</v>
      </c>
      <c r="C517" s="59">
        <f>163741/1000</f>
        <v>163.74100000000001</v>
      </c>
      <c r="D517" s="106">
        <f ca="1">IFERROR(__xludf.DUMMYFUNCTION("C511*IMPORTRANGE(""https://docs.google.com/spreadsheets/d/1xsp01RMmkav9iTy39Zaj_7tE9677EGlOJ14KU9TZn7I"",""H1667"")"),149.8393891)</f>
        <v>149.83938910000001</v>
      </c>
      <c r="E517" s="106">
        <f ca="1">IFERROR(__xludf.DUMMYFUNCTION("C511*IMPORTRANGE(""https://docs.google.com/spreadsheets/d/1xsp01RMmkav9iTy39Zaj_7tE9677EGlOJ14KU9TZn7I"",""T1667"")"),128.82978139)</f>
        <v>128.82978138999999</v>
      </c>
      <c r="F517" s="106">
        <f ca="1">IFERROR(__xludf.DUMMYFUNCTION("C511*IMPORTRANGE(""https://docs.google.com/spreadsheets/d/1xsp01RMmkav9iTy39Zaj_7tE9677EGlOJ14KU9TZn7I"",""AC1667"")"),23872.456336446)</f>
        <v>23872.456336446001</v>
      </c>
      <c r="G517" s="57" t="s">
        <v>8</v>
      </c>
    </row>
    <row r="518" spans="1:7" ht="13.2" x14ac:dyDescent="0.25">
      <c r="A518" s="107">
        <v>45323</v>
      </c>
      <c r="B518" s="73">
        <v>787</v>
      </c>
      <c r="C518" s="74">
        <f>181716.2/1000</f>
        <v>181.71620000000001</v>
      </c>
      <c r="D518" s="108">
        <f ca="1">IFERROR(__xludf.DUMMYFUNCTION("C512*IMPORTRANGE(""https://docs.google.com/spreadsheets/d/1xsp01RMmkav9iTy39Zaj_7tE9677EGlOJ14KU9TZn7I"",""H1689"")"),168.38731673)</f>
        <v>168.38731673000001</v>
      </c>
      <c r="E518" s="108">
        <f ca="1">IFERROR(__xludf.DUMMYFUNCTION("C512*IMPORTRANGE(""https://docs.google.com/spreadsheets/d/1xsp01RMmkav9iTy39Zaj_7tE9677EGlOJ14KU9TZn7I"",""T1689"")"),143.906510266)</f>
        <v>143.906510266</v>
      </c>
      <c r="F518" s="108">
        <f ca="1">IFERROR(__xludf.DUMMYFUNCTION("C512*IMPORTRANGE(""https://docs.google.com/spreadsheets/d/1xsp01RMmkav9iTy39Zaj_7tE9677EGlOJ14KU9TZn7I"",""AC1689"")"),27246.9807733514)</f>
        <v>27246.980773351399</v>
      </c>
      <c r="G518" s="72" t="s">
        <v>8</v>
      </c>
    </row>
    <row r="519" spans="1:7" ht="13.2" x14ac:dyDescent="0.25">
      <c r="A519" s="105">
        <v>45352</v>
      </c>
      <c r="B519" s="58">
        <v>744</v>
      </c>
      <c r="C519" s="59">
        <f>79866.2/1000</f>
        <v>79.866199999999992</v>
      </c>
      <c r="D519" s="106">
        <f ca="1">IFERROR(__xludf.DUMMYFUNCTION("C513*IMPORTRANGE(""https://docs.google.com/spreadsheets/d/1xsp01RMmkav9iTy39Zaj_7tE9677EGlOJ14KU9TZn7I"",""H1712"")"),73.5192330859999)</f>
        <v>73.5192330859999</v>
      </c>
      <c r="E519" s="106">
        <f ca="1">IFERROR(__xludf.DUMMYFUNCTION("C513*IMPORTRANGE(""https://docs.google.com/spreadsheets/d/1xsp01RMmkav9iTy39Zaj_7tE9677EGlOJ14KU9TZn7I"",""T1712"")"),62.79080644)</f>
        <v>62.790806439999997</v>
      </c>
      <c r="F519" s="106">
        <f ca="1">IFERROR(__xludf.DUMMYFUNCTION("C513*IMPORTRANGE(""https://docs.google.com/spreadsheets/d/1xsp01RMmkav9iTy39Zaj_7tE9677EGlOJ14KU9TZn7I"",""AC1712"")"),11987.9165002007)</f>
        <v>11987.916500200699</v>
      </c>
      <c r="G519" s="57" t="s">
        <v>8</v>
      </c>
    </row>
    <row r="520" spans="1:7" ht="13.2" x14ac:dyDescent="0.25">
      <c r="A520" s="2"/>
      <c r="B520" s="2"/>
      <c r="C520" s="2"/>
      <c r="D520" s="2"/>
      <c r="E520" s="2"/>
      <c r="F520" s="2"/>
      <c r="G520" s="2"/>
    </row>
    <row r="521" spans="1:7" ht="13.2" x14ac:dyDescent="0.25">
      <c r="G521" s="2"/>
    </row>
    <row r="522" spans="1:7" ht="13.2" x14ac:dyDescent="0.25">
      <c r="G522" s="2"/>
    </row>
    <row r="523" spans="1:7" ht="13.2" x14ac:dyDescent="0.25">
      <c r="G523" s="2"/>
    </row>
    <row r="524" spans="1:7" ht="13.2" x14ac:dyDescent="0.25">
      <c r="G524" s="2"/>
    </row>
    <row r="525" spans="1:7" ht="13.2" x14ac:dyDescent="0.25">
      <c r="G525" s="2"/>
    </row>
    <row r="526" spans="1:7" ht="13.2" x14ac:dyDescent="0.25">
      <c r="G526" s="2"/>
    </row>
    <row r="527" spans="1:7" ht="13.2" x14ac:dyDescent="0.25">
      <c r="G527" s="2"/>
    </row>
    <row r="528" spans="1:7" ht="13.2" x14ac:dyDescent="0.25">
      <c r="G528" s="2"/>
    </row>
    <row r="529" spans="7:7" ht="13.2" x14ac:dyDescent="0.25">
      <c r="G529" s="2"/>
    </row>
    <row r="530" spans="7:7" ht="13.2" x14ac:dyDescent="0.25">
      <c r="G530" s="2"/>
    </row>
    <row r="531" spans="7:7" ht="13.2" x14ac:dyDescent="0.25">
      <c r="G531" s="2"/>
    </row>
    <row r="532" spans="7:7" ht="13.2" x14ac:dyDescent="0.25">
      <c r="G532" s="2"/>
    </row>
    <row r="533" spans="7:7" ht="13.2" x14ac:dyDescent="0.25">
      <c r="G533" s="2"/>
    </row>
    <row r="534" spans="7:7" ht="13.2" x14ac:dyDescent="0.25">
      <c r="G534" s="2"/>
    </row>
    <row r="535" spans="7:7" ht="13.2" x14ac:dyDescent="0.25">
      <c r="G535" s="2"/>
    </row>
    <row r="536" spans="7:7" ht="13.2" x14ac:dyDescent="0.25">
      <c r="G536" s="2"/>
    </row>
    <row r="537" spans="7:7" ht="13.2" x14ac:dyDescent="0.25">
      <c r="G537" s="2"/>
    </row>
    <row r="538" spans="7:7" ht="13.2" x14ac:dyDescent="0.25">
      <c r="G538" s="2"/>
    </row>
    <row r="539" spans="7:7" ht="13.2" x14ac:dyDescent="0.25">
      <c r="G539" s="2"/>
    </row>
    <row r="540" spans="7:7" ht="13.2" x14ac:dyDescent="0.25">
      <c r="G540" s="2"/>
    </row>
    <row r="541" spans="7:7" ht="13.2" x14ac:dyDescent="0.25">
      <c r="G541" s="2"/>
    </row>
    <row r="542" spans="7:7" ht="13.2" x14ac:dyDescent="0.25">
      <c r="G542" s="2"/>
    </row>
    <row r="543" spans="7:7" ht="13.2" x14ac:dyDescent="0.25">
      <c r="G543" s="2"/>
    </row>
    <row r="544" spans="7:7" ht="13.2" x14ac:dyDescent="0.25">
      <c r="G544" s="2"/>
    </row>
    <row r="545" spans="7:7" ht="13.2" x14ac:dyDescent="0.25">
      <c r="G545" s="2"/>
    </row>
    <row r="546" spans="7:7" ht="13.2" x14ac:dyDescent="0.25">
      <c r="G546" s="2"/>
    </row>
    <row r="547" spans="7:7" ht="13.2" x14ac:dyDescent="0.25">
      <c r="G547" s="2"/>
    </row>
    <row r="548" spans="7:7" ht="13.2" x14ac:dyDescent="0.25">
      <c r="G548" s="2"/>
    </row>
    <row r="549" spans="7:7" ht="13.2" x14ac:dyDescent="0.25">
      <c r="G549" s="2"/>
    </row>
    <row r="550" spans="7:7" ht="13.2" x14ac:dyDescent="0.25">
      <c r="G550" s="2"/>
    </row>
    <row r="551" spans="7:7" ht="13.2" x14ac:dyDescent="0.25">
      <c r="G551" s="2"/>
    </row>
    <row r="552" spans="7:7" ht="13.2" x14ac:dyDescent="0.25">
      <c r="G552" s="2"/>
    </row>
    <row r="553" spans="7:7" ht="13.2" x14ac:dyDescent="0.25">
      <c r="G553" s="2"/>
    </row>
    <row r="554" spans="7:7" ht="13.2" x14ac:dyDescent="0.25">
      <c r="G554" s="2"/>
    </row>
    <row r="555" spans="7:7" ht="13.2" x14ac:dyDescent="0.25">
      <c r="G555" s="2"/>
    </row>
    <row r="556" spans="7:7" ht="13.2" x14ac:dyDescent="0.25">
      <c r="G556" s="2"/>
    </row>
    <row r="557" spans="7:7" ht="13.2" x14ac:dyDescent="0.25">
      <c r="G557" s="2"/>
    </row>
    <row r="558" spans="7:7" ht="13.2" x14ac:dyDescent="0.25">
      <c r="G558" s="2"/>
    </row>
    <row r="559" spans="7:7" ht="13.2" x14ac:dyDescent="0.25">
      <c r="G559" s="2"/>
    </row>
    <row r="560" spans="7:7" ht="13.2" x14ac:dyDescent="0.25">
      <c r="G560" s="2"/>
    </row>
    <row r="561" spans="7:7" ht="13.2" x14ac:dyDescent="0.25">
      <c r="G561" s="2"/>
    </row>
    <row r="562" spans="7:7" ht="13.2" x14ac:dyDescent="0.25">
      <c r="G562" s="2"/>
    </row>
    <row r="563" spans="7:7" ht="13.2" x14ac:dyDescent="0.25">
      <c r="G563" s="2"/>
    </row>
    <row r="564" spans="7:7" ht="13.2" x14ac:dyDescent="0.25">
      <c r="G564" s="2"/>
    </row>
    <row r="565" spans="7:7" ht="13.2" x14ac:dyDescent="0.25">
      <c r="G565" s="2"/>
    </row>
    <row r="566" spans="7:7" ht="13.2" x14ac:dyDescent="0.25">
      <c r="G566" s="2"/>
    </row>
    <row r="567" spans="7:7" ht="13.2" x14ac:dyDescent="0.25">
      <c r="G567" s="2"/>
    </row>
    <row r="568" spans="7:7" ht="13.2" x14ac:dyDescent="0.25">
      <c r="G568" s="2"/>
    </row>
    <row r="569" spans="7:7" ht="13.2" x14ac:dyDescent="0.25">
      <c r="G569" s="2"/>
    </row>
    <row r="570" spans="7:7" ht="13.2" x14ac:dyDescent="0.25">
      <c r="G570" s="2"/>
    </row>
    <row r="571" spans="7:7" ht="13.2" x14ac:dyDescent="0.25">
      <c r="G571" s="2"/>
    </row>
    <row r="572" spans="7:7" ht="13.2" x14ac:dyDescent="0.25">
      <c r="G572" s="2"/>
    </row>
    <row r="573" spans="7:7" ht="13.2" x14ac:dyDescent="0.25">
      <c r="G573" s="2"/>
    </row>
    <row r="574" spans="7:7" ht="13.2" x14ac:dyDescent="0.25">
      <c r="G574" s="2"/>
    </row>
    <row r="575" spans="7:7" ht="13.2" x14ac:dyDescent="0.25">
      <c r="G575" s="2"/>
    </row>
    <row r="576" spans="7:7" ht="13.2" x14ac:dyDescent="0.25">
      <c r="G576" s="2"/>
    </row>
    <row r="577" spans="7:7" ht="13.2" x14ac:dyDescent="0.25">
      <c r="G577" s="2"/>
    </row>
    <row r="578" spans="7:7" ht="13.2" x14ac:dyDescent="0.25">
      <c r="G578" s="2"/>
    </row>
    <row r="579" spans="7:7" ht="13.2" x14ac:dyDescent="0.25">
      <c r="G579" s="2"/>
    </row>
    <row r="580" spans="7:7" ht="13.2" x14ac:dyDescent="0.25">
      <c r="G580" s="2"/>
    </row>
    <row r="581" spans="7:7" ht="13.2" x14ac:dyDescent="0.25">
      <c r="G581" s="2"/>
    </row>
    <row r="582" spans="7:7" ht="13.2" x14ac:dyDescent="0.25">
      <c r="G582" s="2"/>
    </row>
    <row r="583" spans="7:7" ht="13.2" x14ac:dyDescent="0.25">
      <c r="G583" s="2"/>
    </row>
    <row r="584" spans="7:7" ht="13.2" x14ac:dyDescent="0.25">
      <c r="G584" s="2"/>
    </row>
    <row r="585" spans="7:7" ht="13.2" x14ac:dyDescent="0.25">
      <c r="G585" s="2"/>
    </row>
    <row r="586" spans="7:7" ht="13.2" x14ac:dyDescent="0.25">
      <c r="G586" s="2"/>
    </row>
    <row r="587" spans="7:7" ht="13.2" x14ac:dyDescent="0.25">
      <c r="G587" s="2"/>
    </row>
    <row r="588" spans="7:7" ht="13.2" x14ac:dyDescent="0.25">
      <c r="G588" s="2"/>
    </row>
    <row r="589" spans="7:7" ht="13.2" x14ac:dyDescent="0.25">
      <c r="G589" s="2"/>
    </row>
    <row r="590" spans="7:7" ht="13.2" x14ac:dyDescent="0.25">
      <c r="G590" s="2"/>
    </row>
    <row r="591" spans="7:7" ht="13.2" x14ac:dyDescent="0.25">
      <c r="G591" s="2"/>
    </row>
    <row r="592" spans="7:7" ht="13.2" x14ac:dyDescent="0.25">
      <c r="G592" s="2"/>
    </row>
    <row r="593" spans="7:7" ht="13.2" x14ac:dyDescent="0.25">
      <c r="G593" s="2"/>
    </row>
    <row r="594" spans="7:7" ht="13.2" x14ac:dyDescent="0.25">
      <c r="G594" s="2"/>
    </row>
    <row r="595" spans="7:7" ht="13.2" x14ac:dyDescent="0.25">
      <c r="G595" s="2"/>
    </row>
    <row r="596" spans="7:7" ht="13.2" x14ac:dyDescent="0.25">
      <c r="G596" s="2"/>
    </row>
    <row r="597" spans="7:7" ht="13.2" x14ac:dyDescent="0.25">
      <c r="G597" s="2"/>
    </row>
    <row r="598" spans="7:7" ht="13.2" x14ac:dyDescent="0.25">
      <c r="G598" s="2"/>
    </row>
    <row r="599" spans="7:7" ht="13.2" x14ac:dyDescent="0.25">
      <c r="G599" s="2"/>
    </row>
    <row r="600" spans="7:7" ht="13.2" x14ac:dyDescent="0.25">
      <c r="G600" s="2"/>
    </row>
    <row r="601" spans="7:7" ht="13.2" x14ac:dyDescent="0.25">
      <c r="G601" s="2"/>
    </row>
    <row r="602" spans="7:7" ht="13.2" x14ac:dyDescent="0.25">
      <c r="G602" s="2"/>
    </row>
    <row r="603" spans="7:7" ht="13.2" x14ac:dyDescent="0.25">
      <c r="G603" s="2"/>
    </row>
    <row r="604" spans="7:7" ht="13.2" x14ac:dyDescent="0.25">
      <c r="G604" s="2"/>
    </row>
    <row r="605" spans="7:7" ht="13.2" x14ac:dyDescent="0.25">
      <c r="G605" s="2"/>
    </row>
    <row r="606" spans="7:7" ht="13.2" x14ac:dyDescent="0.25">
      <c r="G606" s="2"/>
    </row>
    <row r="607" spans="7:7" ht="13.2" x14ac:dyDescent="0.25">
      <c r="G607" s="2"/>
    </row>
    <row r="608" spans="7:7" ht="13.2" x14ac:dyDescent="0.25">
      <c r="G608" s="2"/>
    </row>
    <row r="609" spans="7:7" ht="13.2" x14ac:dyDescent="0.25">
      <c r="G609" s="2"/>
    </row>
    <row r="610" spans="7:7" ht="13.2" x14ac:dyDescent="0.25">
      <c r="G610" s="2"/>
    </row>
    <row r="611" spans="7:7" ht="13.2" x14ac:dyDescent="0.25">
      <c r="G611" s="2"/>
    </row>
    <row r="612" spans="7:7" ht="13.2" x14ac:dyDescent="0.25">
      <c r="G612" s="2"/>
    </row>
    <row r="613" spans="7:7" ht="13.2" x14ac:dyDescent="0.25">
      <c r="G613" s="2"/>
    </row>
    <row r="614" spans="7:7" ht="13.2" x14ac:dyDescent="0.25">
      <c r="G614" s="2"/>
    </row>
    <row r="615" spans="7:7" ht="13.2" x14ac:dyDescent="0.25">
      <c r="G615" s="2"/>
    </row>
    <row r="616" spans="7:7" ht="13.2" x14ac:dyDescent="0.25">
      <c r="G616" s="2"/>
    </row>
    <row r="617" spans="7:7" ht="13.2" x14ac:dyDescent="0.25">
      <c r="G617" s="2"/>
    </row>
    <row r="618" spans="7:7" ht="13.2" x14ac:dyDescent="0.25">
      <c r="G618" s="2"/>
    </row>
    <row r="619" spans="7:7" ht="13.2" x14ac:dyDescent="0.25">
      <c r="G619" s="2"/>
    </row>
    <row r="620" spans="7:7" ht="13.2" x14ac:dyDescent="0.25">
      <c r="G620" s="2"/>
    </row>
    <row r="621" spans="7:7" ht="13.2" x14ac:dyDescent="0.25">
      <c r="G621" s="2"/>
    </row>
    <row r="622" spans="7:7" ht="13.2" x14ac:dyDescent="0.25">
      <c r="G622" s="2"/>
    </row>
    <row r="623" spans="7:7" ht="13.2" x14ac:dyDescent="0.25">
      <c r="G623" s="2"/>
    </row>
    <row r="624" spans="7:7" ht="13.2" x14ac:dyDescent="0.25">
      <c r="G624" s="2"/>
    </row>
    <row r="625" spans="7:7" ht="13.2" x14ac:dyDescent="0.25">
      <c r="G625" s="2"/>
    </row>
    <row r="626" spans="7:7" ht="13.2" x14ac:dyDescent="0.25">
      <c r="G626" s="2"/>
    </row>
    <row r="627" spans="7:7" ht="13.2" x14ac:dyDescent="0.25">
      <c r="G627" s="2"/>
    </row>
    <row r="628" spans="7:7" ht="13.2" x14ac:dyDescent="0.25">
      <c r="G628" s="2"/>
    </row>
    <row r="629" spans="7:7" ht="13.2" x14ac:dyDescent="0.25">
      <c r="G629" s="2"/>
    </row>
    <row r="630" spans="7:7" ht="13.2" x14ac:dyDescent="0.25">
      <c r="G630" s="2"/>
    </row>
    <row r="631" spans="7:7" ht="13.2" x14ac:dyDescent="0.25">
      <c r="G631" s="2"/>
    </row>
    <row r="632" spans="7:7" ht="13.2" x14ac:dyDescent="0.25">
      <c r="G632" s="2"/>
    </row>
    <row r="633" spans="7:7" ht="13.2" x14ac:dyDescent="0.25">
      <c r="G633" s="2"/>
    </row>
    <row r="634" spans="7:7" ht="13.2" x14ac:dyDescent="0.25">
      <c r="G634" s="2"/>
    </row>
    <row r="635" spans="7:7" ht="13.2" x14ac:dyDescent="0.25">
      <c r="G635" s="2"/>
    </row>
    <row r="636" spans="7:7" ht="13.2" x14ac:dyDescent="0.25">
      <c r="G636" s="2"/>
    </row>
    <row r="637" spans="7:7" ht="13.2" x14ac:dyDescent="0.25">
      <c r="G637" s="2"/>
    </row>
    <row r="638" spans="7:7" ht="13.2" x14ac:dyDescent="0.25">
      <c r="G638" s="2"/>
    </row>
    <row r="639" spans="7:7" ht="13.2" x14ac:dyDescent="0.25">
      <c r="G639" s="2"/>
    </row>
    <row r="640" spans="7:7" ht="13.2" x14ac:dyDescent="0.25">
      <c r="G640" s="2"/>
    </row>
    <row r="641" spans="7:7" ht="13.2" x14ac:dyDescent="0.25">
      <c r="G641" s="2"/>
    </row>
    <row r="642" spans="7:7" ht="13.2" x14ac:dyDescent="0.25">
      <c r="G642" s="2"/>
    </row>
    <row r="643" spans="7:7" ht="13.2" x14ac:dyDescent="0.25">
      <c r="G643" s="2"/>
    </row>
    <row r="644" spans="7:7" ht="13.2" x14ac:dyDescent="0.25">
      <c r="G644" s="2"/>
    </row>
    <row r="645" spans="7:7" ht="13.2" x14ac:dyDescent="0.25">
      <c r="G645" s="2"/>
    </row>
    <row r="646" spans="7:7" ht="13.2" x14ac:dyDescent="0.25">
      <c r="G646" s="2"/>
    </row>
    <row r="647" spans="7:7" ht="13.2" x14ac:dyDescent="0.25">
      <c r="G647" s="2"/>
    </row>
    <row r="648" spans="7:7" ht="13.2" x14ac:dyDescent="0.25">
      <c r="G648" s="2"/>
    </row>
    <row r="649" spans="7:7" ht="13.2" x14ac:dyDescent="0.25">
      <c r="G649" s="2"/>
    </row>
    <row r="650" spans="7:7" ht="13.2" x14ac:dyDescent="0.25">
      <c r="G650" s="2"/>
    </row>
    <row r="651" spans="7:7" ht="13.2" x14ac:dyDescent="0.25">
      <c r="G651" s="2"/>
    </row>
    <row r="652" spans="7:7" ht="13.2" x14ac:dyDescent="0.25">
      <c r="G652" s="2"/>
    </row>
    <row r="653" spans="7:7" ht="13.2" x14ac:dyDescent="0.25">
      <c r="G653" s="2"/>
    </row>
    <row r="654" spans="7:7" ht="13.2" x14ac:dyDescent="0.25">
      <c r="G654" s="2"/>
    </row>
    <row r="655" spans="7:7" ht="13.2" x14ac:dyDescent="0.25">
      <c r="G655" s="2"/>
    </row>
    <row r="656" spans="7:7" ht="13.2" x14ac:dyDescent="0.25">
      <c r="G656" s="2"/>
    </row>
    <row r="657" spans="7:7" ht="13.2" x14ac:dyDescent="0.25">
      <c r="G657" s="2"/>
    </row>
    <row r="658" spans="7:7" ht="13.2" x14ac:dyDescent="0.25">
      <c r="G658" s="2"/>
    </row>
    <row r="659" spans="7:7" ht="13.2" x14ac:dyDescent="0.25">
      <c r="G659" s="2"/>
    </row>
    <row r="660" spans="7:7" ht="13.2" x14ac:dyDescent="0.25">
      <c r="G660" s="2"/>
    </row>
    <row r="661" spans="7:7" ht="13.2" x14ac:dyDescent="0.25">
      <c r="G661" s="2"/>
    </row>
    <row r="662" spans="7:7" ht="13.2" x14ac:dyDescent="0.25">
      <c r="G662" s="2"/>
    </row>
    <row r="663" spans="7:7" ht="13.2" x14ac:dyDescent="0.25">
      <c r="G663" s="2"/>
    </row>
    <row r="664" spans="7:7" ht="13.2" x14ac:dyDescent="0.25">
      <c r="G664" s="2"/>
    </row>
    <row r="665" spans="7:7" ht="13.2" x14ac:dyDescent="0.25">
      <c r="G665" s="2"/>
    </row>
    <row r="666" spans="7:7" ht="13.2" x14ac:dyDescent="0.25">
      <c r="G666" s="2"/>
    </row>
    <row r="667" spans="7:7" ht="13.2" x14ac:dyDescent="0.25">
      <c r="G667" s="2"/>
    </row>
    <row r="668" spans="7:7" ht="13.2" x14ac:dyDescent="0.25">
      <c r="G668" s="2"/>
    </row>
    <row r="669" spans="7:7" ht="13.2" x14ac:dyDescent="0.25">
      <c r="G669" s="2"/>
    </row>
    <row r="670" spans="7:7" ht="13.2" x14ac:dyDescent="0.25">
      <c r="G670" s="2"/>
    </row>
    <row r="671" spans="7:7" ht="13.2" x14ac:dyDescent="0.25">
      <c r="G671" s="2"/>
    </row>
    <row r="672" spans="7:7" ht="13.2" x14ac:dyDescent="0.25">
      <c r="G672" s="2"/>
    </row>
    <row r="673" spans="7:7" ht="13.2" x14ac:dyDescent="0.25">
      <c r="G673" s="2"/>
    </row>
    <row r="674" spans="7:7" ht="13.2" x14ac:dyDescent="0.25">
      <c r="G674" s="2"/>
    </row>
    <row r="675" spans="7:7" ht="13.2" x14ac:dyDescent="0.25">
      <c r="G675" s="2"/>
    </row>
    <row r="676" spans="7:7" ht="13.2" x14ac:dyDescent="0.25">
      <c r="G676" s="2"/>
    </row>
    <row r="677" spans="7:7" ht="13.2" x14ac:dyDescent="0.25">
      <c r="G677" s="2"/>
    </row>
    <row r="678" spans="7:7" ht="13.2" x14ac:dyDescent="0.25">
      <c r="G678" s="2"/>
    </row>
    <row r="679" spans="7:7" ht="13.2" x14ac:dyDescent="0.25">
      <c r="G679" s="2"/>
    </row>
    <row r="680" spans="7:7" ht="13.2" x14ac:dyDescent="0.25">
      <c r="G680" s="2"/>
    </row>
    <row r="681" spans="7:7" ht="13.2" x14ac:dyDescent="0.25">
      <c r="G681" s="2"/>
    </row>
    <row r="682" spans="7:7" ht="13.2" x14ac:dyDescent="0.25">
      <c r="G682" s="2"/>
    </row>
    <row r="683" spans="7:7" ht="13.2" x14ac:dyDescent="0.25">
      <c r="G683" s="2"/>
    </row>
    <row r="684" spans="7:7" ht="13.2" x14ac:dyDescent="0.25">
      <c r="G684" s="2"/>
    </row>
    <row r="685" spans="7:7" ht="13.2" x14ac:dyDescent="0.25">
      <c r="G685" s="2"/>
    </row>
    <row r="686" spans="7:7" ht="13.2" x14ac:dyDescent="0.25">
      <c r="G686" s="2"/>
    </row>
    <row r="687" spans="7:7" ht="13.2" x14ac:dyDescent="0.25">
      <c r="G687" s="2"/>
    </row>
    <row r="688" spans="7:7" ht="13.2" x14ac:dyDescent="0.25">
      <c r="G688" s="2"/>
    </row>
    <row r="689" spans="7:7" ht="13.2" x14ac:dyDescent="0.25">
      <c r="G689" s="2"/>
    </row>
    <row r="690" spans="7:7" ht="13.2" x14ac:dyDescent="0.25">
      <c r="G690" s="2"/>
    </row>
    <row r="691" spans="7:7" ht="13.2" x14ac:dyDescent="0.25">
      <c r="G691" s="2"/>
    </row>
    <row r="692" spans="7:7" ht="13.2" x14ac:dyDescent="0.25">
      <c r="G692" s="2"/>
    </row>
    <row r="693" spans="7:7" ht="13.2" x14ac:dyDescent="0.25">
      <c r="G693" s="2"/>
    </row>
    <row r="694" spans="7:7" ht="13.2" x14ac:dyDescent="0.25">
      <c r="G694" s="2"/>
    </row>
    <row r="695" spans="7:7" ht="13.2" x14ac:dyDescent="0.25">
      <c r="G695" s="2"/>
    </row>
    <row r="696" spans="7:7" ht="13.2" x14ac:dyDescent="0.25">
      <c r="G696" s="2"/>
    </row>
    <row r="697" spans="7:7" ht="13.2" x14ac:dyDescent="0.25">
      <c r="G697" s="2"/>
    </row>
    <row r="698" spans="7:7" ht="13.2" x14ac:dyDescent="0.25">
      <c r="G698" s="2"/>
    </row>
    <row r="699" spans="7:7" ht="13.2" x14ac:dyDescent="0.25">
      <c r="G699" s="2"/>
    </row>
    <row r="700" spans="7:7" ht="13.2" x14ac:dyDescent="0.25">
      <c r="G700" s="2"/>
    </row>
    <row r="701" spans="7:7" ht="13.2" x14ac:dyDescent="0.25">
      <c r="G701" s="2"/>
    </row>
    <row r="702" spans="7:7" ht="13.2" x14ac:dyDescent="0.25">
      <c r="G702" s="2"/>
    </row>
    <row r="703" spans="7:7" ht="13.2" x14ac:dyDescent="0.25">
      <c r="G703" s="2"/>
    </row>
    <row r="704" spans="7:7" ht="13.2" x14ac:dyDescent="0.25">
      <c r="G704" s="2"/>
    </row>
    <row r="705" spans="7:7" ht="13.2" x14ac:dyDescent="0.25">
      <c r="G705" s="2"/>
    </row>
    <row r="706" spans="7:7" ht="13.2" x14ac:dyDescent="0.25">
      <c r="G706" s="2"/>
    </row>
    <row r="707" spans="7:7" ht="13.2" x14ac:dyDescent="0.25">
      <c r="G707" s="2"/>
    </row>
    <row r="708" spans="7:7" ht="13.2" x14ac:dyDescent="0.25">
      <c r="G708" s="2"/>
    </row>
    <row r="709" spans="7:7" ht="13.2" x14ac:dyDescent="0.25">
      <c r="G709" s="2"/>
    </row>
    <row r="710" spans="7:7" ht="13.2" x14ac:dyDescent="0.25">
      <c r="G710" s="2"/>
    </row>
    <row r="711" spans="7:7" ht="13.2" x14ac:dyDescent="0.25">
      <c r="G711" s="2"/>
    </row>
    <row r="712" spans="7:7" ht="13.2" x14ac:dyDescent="0.25">
      <c r="G712" s="2"/>
    </row>
    <row r="713" spans="7:7" ht="13.2" x14ac:dyDescent="0.25">
      <c r="G713" s="2"/>
    </row>
    <row r="714" spans="7:7" ht="13.2" x14ac:dyDescent="0.25">
      <c r="G714" s="2"/>
    </row>
    <row r="715" spans="7:7" ht="13.2" x14ac:dyDescent="0.25">
      <c r="G715" s="2"/>
    </row>
    <row r="716" spans="7:7" ht="13.2" x14ac:dyDescent="0.25">
      <c r="G716" s="2"/>
    </row>
    <row r="717" spans="7:7" ht="13.2" x14ac:dyDescent="0.25">
      <c r="G717" s="2"/>
    </row>
    <row r="718" spans="7:7" ht="13.2" x14ac:dyDescent="0.25">
      <c r="G718" s="2"/>
    </row>
    <row r="719" spans="7:7" ht="13.2" x14ac:dyDescent="0.25">
      <c r="G719" s="2"/>
    </row>
    <row r="720" spans="7:7" ht="13.2" x14ac:dyDescent="0.25">
      <c r="G720" s="2"/>
    </row>
    <row r="721" spans="7:7" ht="13.2" x14ac:dyDescent="0.25">
      <c r="G721" s="2"/>
    </row>
    <row r="722" spans="7:7" ht="13.2" x14ac:dyDescent="0.25">
      <c r="G722" s="2"/>
    </row>
    <row r="723" spans="7:7" ht="13.2" x14ac:dyDescent="0.25">
      <c r="G723" s="2"/>
    </row>
    <row r="724" spans="7:7" ht="13.2" x14ac:dyDescent="0.25">
      <c r="G724" s="2"/>
    </row>
    <row r="725" spans="7:7" ht="13.2" x14ac:dyDescent="0.25">
      <c r="G725" s="2"/>
    </row>
    <row r="726" spans="7:7" ht="13.2" x14ac:dyDescent="0.25">
      <c r="G726" s="2"/>
    </row>
    <row r="727" spans="7:7" ht="13.2" x14ac:dyDescent="0.25">
      <c r="G727" s="2"/>
    </row>
    <row r="728" spans="7:7" ht="13.2" x14ac:dyDescent="0.25">
      <c r="G728" s="2"/>
    </row>
    <row r="729" spans="7:7" ht="13.2" x14ac:dyDescent="0.25">
      <c r="G729" s="2"/>
    </row>
    <row r="730" spans="7:7" ht="13.2" x14ac:dyDescent="0.25">
      <c r="G730" s="2"/>
    </row>
    <row r="731" spans="7:7" ht="13.2" x14ac:dyDescent="0.25">
      <c r="G731" s="2"/>
    </row>
    <row r="732" spans="7:7" ht="13.2" x14ac:dyDescent="0.25">
      <c r="G732" s="2"/>
    </row>
    <row r="733" spans="7:7" ht="13.2" x14ac:dyDescent="0.25">
      <c r="G733" s="2"/>
    </row>
    <row r="734" spans="7:7" ht="13.2" x14ac:dyDescent="0.25">
      <c r="G734" s="2"/>
    </row>
    <row r="735" spans="7:7" ht="13.2" x14ac:dyDescent="0.25">
      <c r="G735" s="2"/>
    </row>
    <row r="736" spans="7:7" ht="13.2" x14ac:dyDescent="0.25">
      <c r="G736" s="2"/>
    </row>
    <row r="737" spans="7:7" ht="13.2" x14ac:dyDescent="0.25">
      <c r="G737" s="2"/>
    </row>
    <row r="738" spans="7:7" ht="13.2" x14ac:dyDescent="0.25">
      <c r="G738" s="2"/>
    </row>
    <row r="739" spans="7:7" ht="13.2" x14ac:dyDescent="0.25">
      <c r="G739" s="2"/>
    </row>
    <row r="740" spans="7:7" ht="13.2" x14ac:dyDescent="0.25">
      <c r="G740" s="2"/>
    </row>
    <row r="741" spans="7:7" ht="13.2" x14ac:dyDescent="0.25">
      <c r="G741" s="2"/>
    </row>
    <row r="742" spans="7:7" ht="13.2" x14ac:dyDescent="0.25">
      <c r="G742" s="2"/>
    </row>
    <row r="743" spans="7:7" ht="13.2" x14ac:dyDescent="0.25">
      <c r="G743" s="2"/>
    </row>
    <row r="744" spans="7:7" ht="13.2" x14ac:dyDescent="0.25">
      <c r="G744" s="2"/>
    </row>
    <row r="745" spans="7:7" ht="13.2" x14ac:dyDescent="0.25">
      <c r="G745" s="2"/>
    </row>
    <row r="746" spans="7:7" ht="13.2" x14ac:dyDescent="0.25">
      <c r="G746" s="2"/>
    </row>
    <row r="747" spans="7:7" ht="13.2" x14ac:dyDescent="0.25">
      <c r="G747" s="2"/>
    </row>
    <row r="748" spans="7:7" ht="13.2" x14ac:dyDescent="0.25">
      <c r="G748" s="2"/>
    </row>
    <row r="749" spans="7:7" ht="13.2" x14ac:dyDescent="0.25">
      <c r="G749" s="2"/>
    </row>
    <row r="750" spans="7:7" ht="13.2" x14ac:dyDescent="0.25">
      <c r="G750" s="2"/>
    </row>
    <row r="751" spans="7:7" ht="13.2" x14ac:dyDescent="0.25">
      <c r="G751" s="2"/>
    </row>
    <row r="752" spans="7:7" ht="13.2" x14ac:dyDescent="0.25">
      <c r="G752" s="2"/>
    </row>
    <row r="753" spans="7:7" ht="13.2" x14ac:dyDescent="0.25">
      <c r="G753" s="2"/>
    </row>
    <row r="754" spans="7:7" ht="13.2" x14ac:dyDescent="0.25">
      <c r="G754" s="2"/>
    </row>
    <row r="755" spans="7:7" ht="13.2" x14ac:dyDescent="0.25">
      <c r="G755" s="2"/>
    </row>
    <row r="756" spans="7:7" ht="13.2" x14ac:dyDescent="0.25">
      <c r="G756" s="2"/>
    </row>
    <row r="757" spans="7:7" ht="13.2" x14ac:dyDescent="0.25">
      <c r="G757" s="2"/>
    </row>
    <row r="758" spans="7:7" ht="13.2" x14ac:dyDescent="0.25">
      <c r="G758" s="2"/>
    </row>
    <row r="759" spans="7:7" ht="13.2" x14ac:dyDescent="0.25">
      <c r="G759" s="2"/>
    </row>
    <row r="760" spans="7:7" ht="13.2" x14ac:dyDescent="0.25">
      <c r="G760" s="2"/>
    </row>
    <row r="761" spans="7:7" ht="13.2" x14ac:dyDescent="0.25">
      <c r="G761" s="2"/>
    </row>
    <row r="762" spans="7:7" ht="13.2" x14ac:dyDescent="0.25">
      <c r="G762" s="2"/>
    </row>
    <row r="763" spans="7:7" ht="13.2" x14ac:dyDescent="0.25">
      <c r="G763" s="2"/>
    </row>
    <row r="764" spans="7:7" ht="13.2" x14ac:dyDescent="0.25">
      <c r="G764" s="2"/>
    </row>
    <row r="765" spans="7:7" ht="13.2" x14ac:dyDescent="0.25">
      <c r="G765" s="2"/>
    </row>
    <row r="766" spans="7:7" ht="13.2" x14ac:dyDescent="0.25">
      <c r="G766" s="2"/>
    </row>
    <row r="767" spans="7:7" ht="13.2" x14ac:dyDescent="0.25">
      <c r="G767" s="2"/>
    </row>
    <row r="768" spans="7:7" ht="13.2" x14ac:dyDescent="0.25">
      <c r="G768" s="2"/>
    </row>
    <row r="769" spans="7:7" ht="13.2" x14ac:dyDescent="0.25">
      <c r="G769" s="2"/>
    </row>
    <row r="770" spans="7:7" ht="13.2" x14ac:dyDescent="0.25">
      <c r="G770" s="2"/>
    </row>
    <row r="771" spans="7:7" ht="13.2" x14ac:dyDescent="0.25">
      <c r="G771" s="2"/>
    </row>
    <row r="772" spans="7:7" ht="13.2" x14ac:dyDescent="0.25">
      <c r="G772" s="2"/>
    </row>
    <row r="773" spans="7:7" ht="13.2" x14ac:dyDescent="0.25">
      <c r="G773" s="2"/>
    </row>
    <row r="774" spans="7:7" ht="13.2" x14ac:dyDescent="0.25">
      <c r="G774" s="2"/>
    </row>
    <row r="775" spans="7:7" ht="13.2" x14ac:dyDescent="0.25">
      <c r="G775" s="2"/>
    </row>
    <row r="776" spans="7:7" ht="13.2" x14ac:dyDescent="0.25">
      <c r="G776" s="2"/>
    </row>
    <row r="777" spans="7:7" ht="13.2" x14ac:dyDescent="0.25">
      <c r="G777" s="2"/>
    </row>
    <row r="778" spans="7:7" ht="13.2" x14ac:dyDescent="0.25">
      <c r="G778" s="2"/>
    </row>
    <row r="779" spans="7:7" ht="13.2" x14ac:dyDescent="0.25">
      <c r="G779" s="2"/>
    </row>
    <row r="780" spans="7:7" ht="13.2" x14ac:dyDescent="0.25">
      <c r="G780" s="2"/>
    </row>
    <row r="781" spans="7:7" ht="13.2" x14ac:dyDescent="0.25">
      <c r="G781" s="2"/>
    </row>
    <row r="782" spans="7:7" ht="13.2" x14ac:dyDescent="0.25">
      <c r="G782" s="2"/>
    </row>
    <row r="783" spans="7:7" ht="13.2" x14ac:dyDescent="0.25">
      <c r="G783" s="2"/>
    </row>
    <row r="784" spans="7:7" ht="13.2" x14ac:dyDescent="0.25">
      <c r="G784" s="2"/>
    </row>
    <row r="785" spans="7:7" ht="13.2" x14ac:dyDescent="0.25">
      <c r="G785" s="2"/>
    </row>
    <row r="786" spans="7:7" ht="13.2" x14ac:dyDescent="0.25">
      <c r="G786" s="2"/>
    </row>
    <row r="787" spans="7:7" ht="13.2" x14ac:dyDescent="0.25">
      <c r="G787" s="2"/>
    </row>
    <row r="788" spans="7:7" ht="13.2" x14ac:dyDescent="0.25">
      <c r="G788" s="2"/>
    </row>
    <row r="789" spans="7:7" ht="13.2" x14ac:dyDescent="0.25">
      <c r="G789" s="2"/>
    </row>
    <row r="790" spans="7:7" ht="13.2" x14ac:dyDescent="0.25">
      <c r="G790" s="2"/>
    </row>
    <row r="791" spans="7:7" ht="13.2" x14ac:dyDescent="0.25">
      <c r="G791" s="2"/>
    </row>
    <row r="792" spans="7:7" ht="13.2" x14ac:dyDescent="0.25">
      <c r="G792" s="2"/>
    </row>
    <row r="793" spans="7:7" ht="13.2" x14ac:dyDescent="0.25">
      <c r="G793" s="2"/>
    </row>
    <row r="794" spans="7:7" ht="13.2" x14ac:dyDescent="0.25">
      <c r="G794" s="2"/>
    </row>
    <row r="795" spans="7:7" ht="13.2" x14ac:dyDescent="0.25">
      <c r="G795" s="2"/>
    </row>
    <row r="796" spans="7:7" ht="13.2" x14ac:dyDescent="0.25">
      <c r="G796" s="2"/>
    </row>
    <row r="797" spans="7:7" ht="13.2" x14ac:dyDescent="0.25">
      <c r="G797" s="2"/>
    </row>
    <row r="798" spans="7:7" ht="13.2" x14ac:dyDescent="0.25">
      <c r="G798" s="2"/>
    </row>
    <row r="799" spans="7:7" ht="13.2" x14ac:dyDescent="0.25">
      <c r="G799" s="2"/>
    </row>
    <row r="800" spans="7:7" ht="13.2" x14ac:dyDescent="0.25">
      <c r="G800" s="2"/>
    </row>
    <row r="801" spans="7:7" ht="13.2" x14ac:dyDescent="0.25">
      <c r="G801" s="2"/>
    </row>
    <row r="802" spans="7:7" ht="13.2" x14ac:dyDescent="0.25">
      <c r="G802" s="2"/>
    </row>
    <row r="803" spans="7:7" ht="13.2" x14ac:dyDescent="0.25">
      <c r="G803" s="2"/>
    </row>
    <row r="804" spans="7:7" ht="13.2" x14ac:dyDescent="0.25">
      <c r="G804" s="2"/>
    </row>
    <row r="805" spans="7:7" ht="13.2" x14ac:dyDescent="0.25">
      <c r="G805" s="2"/>
    </row>
    <row r="806" spans="7:7" ht="13.2" x14ac:dyDescent="0.25">
      <c r="G806" s="2"/>
    </row>
    <row r="807" spans="7:7" ht="13.2" x14ac:dyDescent="0.25">
      <c r="G807" s="2"/>
    </row>
    <row r="808" spans="7:7" ht="13.2" x14ac:dyDescent="0.25">
      <c r="G808" s="2"/>
    </row>
    <row r="809" spans="7:7" ht="13.2" x14ac:dyDescent="0.25">
      <c r="G809" s="2"/>
    </row>
    <row r="810" spans="7:7" ht="13.2" x14ac:dyDescent="0.25">
      <c r="G810" s="2"/>
    </row>
    <row r="811" spans="7:7" ht="13.2" x14ac:dyDescent="0.25">
      <c r="G811" s="2"/>
    </row>
    <row r="812" spans="7:7" ht="13.2" x14ac:dyDescent="0.25">
      <c r="G812" s="2"/>
    </row>
    <row r="813" spans="7:7" ht="13.2" x14ac:dyDescent="0.25">
      <c r="G813" s="2"/>
    </row>
    <row r="814" spans="7:7" ht="13.2" x14ac:dyDescent="0.25">
      <c r="G814" s="2"/>
    </row>
    <row r="815" spans="7:7" ht="13.2" x14ac:dyDescent="0.25">
      <c r="G815" s="2"/>
    </row>
    <row r="816" spans="7:7" ht="13.2" x14ac:dyDescent="0.25">
      <c r="G816" s="2"/>
    </row>
    <row r="817" spans="7:7" ht="13.2" x14ac:dyDescent="0.25">
      <c r="G817" s="2"/>
    </row>
    <row r="818" spans="7:7" ht="13.2" x14ac:dyDescent="0.25">
      <c r="G818" s="2"/>
    </row>
    <row r="819" spans="7:7" ht="13.2" x14ac:dyDescent="0.25">
      <c r="G819" s="2"/>
    </row>
    <row r="820" spans="7:7" ht="13.2" x14ac:dyDescent="0.25">
      <c r="G820" s="2"/>
    </row>
    <row r="821" spans="7:7" ht="13.2" x14ac:dyDescent="0.25">
      <c r="G821" s="2"/>
    </row>
    <row r="822" spans="7:7" ht="13.2" x14ac:dyDescent="0.25">
      <c r="G822" s="2"/>
    </row>
    <row r="823" spans="7:7" ht="13.2" x14ac:dyDescent="0.25">
      <c r="G823" s="2"/>
    </row>
    <row r="824" spans="7:7" ht="13.2" x14ac:dyDescent="0.25">
      <c r="G824" s="2"/>
    </row>
    <row r="825" spans="7:7" ht="13.2" x14ac:dyDescent="0.25">
      <c r="G825" s="2"/>
    </row>
    <row r="826" spans="7:7" ht="13.2" x14ac:dyDescent="0.25">
      <c r="G826" s="2"/>
    </row>
    <row r="827" spans="7:7" ht="13.2" x14ac:dyDescent="0.25">
      <c r="G827" s="2"/>
    </row>
    <row r="828" spans="7:7" ht="13.2" x14ac:dyDescent="0.25">
      <c r="G828" s="2"/>
    </row>
    <row r="829" spans="7:7" ht="13.2" x14ac:dyDescent="0.25">
      <c r="G829" s="2"/>
    </row>
    <row r="830" spans="7:7" ht="13.2" x14ac:dyDescent="0.25">
      <c r="G830" s="2"/>
    </row>
    <row r="831" spans="7:7" ht="13.2" x14ac:dyDescent="0.25">
      <c r="G831" s="2"/>
    </row>
    <row r="832" spans="7:7" ht="13.2" x14ac:dyDescent="0.25">
      <c r="G832" s="2"/>
    </row>
    <row r="833" spans="7:7" ht="13.2" x14ac:dyDescent="0.25">
      <c r="G833" s="2"/>
    </row>
    <row r="834" spans="7:7" ht="13.2" x14ac:dyDescent="0.25">
      <c r="G834" s="2"/>
    </row>
    <row r="835" spans="7:7" ht="13.2" x14ac:dyDescent="0.25">
      <c r="G835" s="2"/>
    </row>
    <row r="836" spans="7:7" ht="13.2" x14ac:dyDescent="0.25">
      <c r="G836" s="2"/>
    </row>
    <row r="837" spans="7:7" ht="13.2" x14ac:dyDescent="0.25">
      <c r="G837" s="2"/>
    </row>
    <row r="838" spans="7:7" ht="13.2" x14ac:dyDescent="0.25">
      <c r="G838" s="2"/>
    </row>
    <row r="839" spans="7:7" ht="13.2" x14ac:dyDescent="0.25">
      <c r="G839" s="2"/>
    </row>
    <row r="840" spans="7:7" ht="13.2" x14ac:dyDescent="0.25">
      <c r="G840" s="2"/>
    </row>
    <row r="841" spans="7:7" ht="13.2" x14ac:dyDescent="0.25">
      <c r="G841" s="2"/>
    </row>
    <row r="842" spans="7:7" ht="13.2" x14ac:dyDescent="0.25">
      <c r="G842" s="2"/>
    </row>
    <row r="843" spans="7:7" ht="13.2" x14ac:dyDescent="0.25">
      <c r="G843" s="2"/>
    </row>
    <row r="844" spans="7:7" ht="13.2" x14ac:dyDescent="0.25">
      <c r="G844" s="2"/>
    </row>
    <row r="845" spans="7:7" ht="13.2" x14ac:dyDescent="0.25">
      <c r="G845" s="2"/>
    </row>
    <row r="846" spans="7:7" ht="13.2" x14ac:dyDescent="0.25">
      <c r="G846" s="2"/>
    </row>
    <row r="847" spans="7:7" ht="13.2" x14ac:dyDescent="0.25">
      <c r="G847" s="2"/>
    </row>
    <row r="848" spans="7:7" ht="13.2" x14ac:dyDescent="0.25">
      <c r="G848" s="2"/>
    </row>
    <row r="849" spans="7:7" ht="13.2" x14ac:dyDescent="0.25">
      <c r="G849" s="2"/>
    </row>
    <row r="850" spans="7:7" ht="13.2" x14ac:dyDescent="0.25">
      <c r="G850" s="2"/>
    </row>
    <row r="851" spans="7:7" ht="13.2" x14ac:dyDescent="0.25">
      <c r="G851" s="2"/>
    </row>
    <row r="852" spans="7:7" ht="13.2" x14ac:dyDescent="0.25">
      <c r="G852" s="2"/>
    </row>
    <row r="853" spans="7:7" ht="13.2" x14ac:dyDescent="0.25">
      <c r="G853" s="2"/>
    </row>
    <row r="854" spans="7:7" ht="13.2" x14ac:dyDescent="0.25">
      <c r="G854" s="2"/>
    </row>
    <row r="855" spans="7:7" ht="13.2" x14ac:dyDescent="0.25">
      <c r="G855" s="2"/>
    </row>
    <row r="856" spans="7:7" ht="13.2" x14ac:dyDescent="0.25">
      <c r="G856" s="2"/>
    </row>
    <row r="857" spans="7:7" ht="13.2" x14ac:dyDescent="0.25">
      <c r="G857" s="2"/>
    </row>
    <row r="858" spans="7:7" ht="13.2" x14ac:dyDescent="0.25">
      <c r="G858" s="2"/>
    </row>
    <row r="859" spans="7:7" ht="13.2" x14ac:dyDescent="0.25">
      <c r="G859" s="2"/>
    </row>
    <row r="860" spans="7:7" ht="13.2" x14ac:dyDescent="0.25">
      <c r="G860" s="2"/>
    </row>
    <row r="861" spans="7:7" ht="13.2" x14ac:dyDescent="0.25">
      <c r="G861" s="2"/>
    </row>
    <row r="862" spans="7:7" ht="13.2" x14ac:dyDescent="0.25">
      <c r="G862" s="2"/>
    </row>
    <row r="863" spans="7:7" ht="13.2" x14ac:dyDescent="0.25">
      <c r="G863" s="2"/>
    </row>
    <row r="864" spans="7:7" ht="13.2" x14ac:dyDescent="0.25">
      <c r="G864" s="2"/>
    </row>
    <row r="865" spans="7:7" ht="13.2" x14ac:dyDescent="0.25">
      <c r="G865" s="2"/>
    </row>
    <row r="866" spans="7:7" ht="13.2" x14ac:dyDescent="0.25">
      <c r="G866" s="2"/>
    </row>
    <row r="867" spans="7:7" ht="13.2" x14ac:dyDescent="0.25">
      <c r="G867" s="2"/>
    </row>
    <row r="868" spans="7:7" ht="13.2" x14ac:dyDescent="0.25">
      <c r="G868" s="2"/>
    </row>
    <row r="869" spans="7:7" ht="13.2" x14ac:dyDescent="0.25">
      <c r="G869" s="2"/>
    </row>
    <row r="870" spans="7:7" ht="13.2" x14ac:dyDescent="0.25">
      <c r="G870" s="2"/>
    </row>
    <row r="871" spans="7:7" ht="13.2" x14ac:dyDescent="0.25">
      <c r="G871" s="2"/>
    </row>
    <row r="872" spans="7:7" ht="13.2" x14ac:dyDescent="0.25">
      <c r="G872" s="2"/>
    </row>
    <row r="873" spans="7:7" ht="13.2" x14ac:dyDescent="0.25">
      <c r="G873" s="2"/>
    </row>
    <row r="874" spans="7:7" ht="13.2" x14ac:dyDescent="0.25">
      <c r="G874" s="2"/>
    </row>
    <row r="875" spans="7:7" ht="13.2" x14ac:dyDescent="0.25">
      <c r="G875" s="2"/>
    </row>
    <row r="876" spans="7:7" ht="13.2" x14ac:dyDescent="0.25">
      <c r="G876" s="2"/>
    </row>
    <row r="877" spans="7:7" ht="13.2" x14ac:dyDescent="0.25">
      <c r="G877" s="2"/>
    </row>
    <row r="878" spans="7:7" ht="13.2" x14ac:dyDescent="0.25">
      <c r="G878" s="2"/>
    </row>
    <row r="879" spans="7:7" ht="13.2" x14ac:dyDescent="0.25">
      <c r="G879" s="2"/>
    </row>
    <row r="880" spans="7:7" ht="13.2" x14ac:dyDescent="0.25">
      <c r="G880" s="2"/>
    </row>
    <row r="881" spans="7:7" ht="13.2" x14ac:dyDescent="0.25">
      <c r="G881" s="2"/>
    </row>
    <row r="882" spans="7:7" ht="13.2" x14ac:dyDescent="0.25">
      <c r="G882" s="2"/>
    </row>
    <row r="883" spans="7:7" ht="13.2" x14ac:dyDescent="0.25">
      <c r="G883" s="2"/>
    </row>
    <row r="884" spans="7:7" ht="13.2" x14ac:dyDescent="0.25">
      <c r="G884" s="2"/>
    </row>
    <row r="885" spans="7:7" ht="13.2" x14ac:dyDescent="0.25">
      <c r="G885" s="2"/>
    </row>
    <row r="886" spans="7:7" ht="13.2" x14ac:dyDescent="0.25">
      <c r="G886" s="2"/>
    </row>
    <row r="887" spans="7:7" ht="13.2" x14ac:dyDescent="0.25">
      <c r="G887" s="2"/>
    </row>
    <row r="888" spans="7:7" ht="13.2" x14ac:dyDescent="0.25">
      <c r="G888" s="2"/>
    </row>
    <row r="889" spans="7:7" ht="13.2" x14ac:dyDescent="0.25">
      <c r="G889" s="2"/>
    </row>
    <row r="890" spans="7:7" ht="13.2" x14ac:dyDescent="0.25">
      <c r="G890" s="2"/>
    </row>
    <row r="891" spans="7:7" ht="13.2" x14ac:dyDescent="0.25">
      <c r="G891" s="2"/>
    </row>
    <row r="892" spans="7:7" ht="13.2" x14ac:dyDescent="0.25">
      <c r="G892" s="2"/>
    </row>
    <row r="893" spans="7:7" ht="13.2" x14ac:dyDescent="0.25">
      <c r="G893" s="2"/>
    </row>
    <row r="894" spans="7:7" ht="13.2" x14ac:dyDescent="0.25">
      <c r="G894" s="2"/>
    </row>
    <row r="895" spans="7:7" ht="13.2" x14ac:dyDescent="0.25">
      <c r="G895" s="2"/>
    </row>
    <row r="896" spans="7:7" ht="13.2" x14ac:dyDescent="0.25">
      <c r="G896" s="2"/>
    </row>
    <row r="897" spans="7:7" ht="13.2" x14ac:dyDescent="0.25">
      <c r="G897" s="2"/>
    </row>
    <row r="898" spans="7:7" ht="13.2" x14ac:dyDescent="0.25">
      <c r="G898" s="2"/>
    </row>
    <row r="899" spans="7:7" ht="13.2" x14ac:dyDescent="0.25">
      <c r="G899" s="2"/>
    </row>
    <row r="900" spans="7:7" ht="13.2" x14ac:dyDescent="0.25">
      <c r="G900" s="2"/>
    </row>
    <row r="901" spans="7:7" ht="13.2" x14ac:dyDescent="0.25">
      <c r="G901" s="2"/>
    </row>
    <row r="902" spans="7:7" ht="13.2" x14ac:dyDescent="0.25">
      <c r="G902" s="2"/>
    </row>
    <row r="903" spans="7:7" ht="13.2" x14ac:dyDescent="0.25">
      <c r="G903" s="2"/>
    </row>
    <row r="904" spans="7:7" ht="13.2" x14ac:dyDescent="0.25">
      <c r="G904" s="2"/>
    </row>
    <row r="905" spans="7:7" ht="13.2" x14ac:dyDescent="0.25">
      <c r="G905" s="2"/>
    </row>
    <row r="906" spans="7:7" ht="13.2" x14ac:dyDescent="0.25">
      <c r="G906" s="2"/>
    </row>
    <row r="907" spans="7:7" ht="13.2" x14ac:dyDescent="0.25">
      <c r="G907" s="2"/>
    </row>
    <row r="908" spans="7:7" ht="13.2" x14ac:dyDescent="0.25">
      <c r="G908" s="2"/>
    </row>
    <row r="909" spans="7:7" ht="13.2" x14ac:dyDescent="0.25">
      <c r="G909" s="2"/>
    </row>
    <row r="910" spans="7:7" ht="13.2" x14ac:dyDescent="0.25">
      <c r="G910" s="2"/>
    </row>
    <row r="911" spans="7:7" ht="13.2" x14ac:dyDescent="0.25">
      <c r="G911" s="2"/>
    </row>
    <row r="912" spans="7:7" ht="13.2" x14ac:dyDescent="0.25">
      <c r="G912" s="2"/>
    </row>
    <row r="913" spans="7:7" ht="13.2" x14ac:dyDescent="0.25">
      <c r="G913" s="2"/>
    </row>
    <row r="914" spans="7:7" ht="13.2" x14ac:dyDescent="0.25">
      <c r="G914" s="2"/>
    </row>
    <row r="915" spans="7:7" ht="13.2" x14ac:dyDescent="0.25">
      <c r="G915" s="2"/>
    </row>
    <row r="916" spans="7:7" ht="13.2" x14ac:dyDescent="0.25">
      <c r="G916" s="2"/>
    </row>
    <row r="917" spans="7:7" ht="13.2" x14ac:dyDescent="0.25">
      <c r="G917" s="2"/>
    </row>
    <row r="918" spans="7:7" ht="13.2" x14ac:dyDescent="0.25">
      <c r="G918" s="2"/>
    </row>
    <row r="919" spans="7:7" ht="13.2" x14ac:dyDescent="0.25">
      <c r="G919" s="2"/>
    </row>
    <row r="920" spans="7:7" ht="13.2" x14ac:dyDescent="0.25">
      <c r="G920" s="2"/>
    </row>
    <row r="921" spans="7:7" ht="13.2" x14ac:dyDescent="0.25">
      <c r="G921" s="2"/>
    </row>
    <row r="922" spans="7:7" ht="13.2" x14ac:dyDescent="0.25">
      <c r="G922" s="2"/>
    </row>
    <row r="923" spans="7:7" ht="13.2" x14ac:dyDescent="0.25">
      <c r="G923" s="2"/>
    </row>
    <row r="924" spans="7:7" ht="13.2" x14ac:dyDescent="0.25">
      <c r="G924" s="2"/>
    </row>
    <row r="925" spans="7:7" ht="13.2" x14ac:dyDescent="0.25">
      <c r="G925" s="2"/>
    </row>
    <row r="926" spans="7:7" ht="13.2" x14ac:dyDescent="0.25">
      <c r="G926" s="2"/>
    </row>
    <row r="927" spans="7:7" ht="13.2" x14ac:dyDescent="0.25">
      <c r="G927" s="2"/>
    </row>
    <row r="928" spans="7:7" ht="13.2" x14ac:dyDescent="0.25">
      <c r="G928" s="2"/>
    </row>
    <row r="929" spans="7:7" ht="13.2" x14ac:dyDescent="0.25">
      <c r="G929" s="2"/>
    </row>
    <row r="930" spans="7:7" ht="13.2" x14ac:dyDescent="0.25">
      <c r="G930" s="2"/>
    </row>
    <row r="931" spans="7:7" ht="13.2" x14ac:dyDescent="0.25">
      <c r="G931" s="2"/>
    </row>
    <row r="932" spans="7:7" ht="13.2" x14ac:dyDescent="0.25">
      <c r="G932" s="2"/>
    </row>
    <row r="933" spans="7:7" ht="13.2" x14ac:dyDescent="0.25">
      <c r="G933" s="2"/>
    </row>
    <row r="934" spans="7:7" ht="13.2" x14ac:dyDescent="0.25">
      <c r="G934" s="2"/>
    </row>
    <row r="935" spans="7:7" ht="13.2" x14ac:dyDescent="0.25">
      <c r="G935" s="2"/>
    </row>
    <row r="936" spans="7:7" ht="13.2" x14ac:dyDescent="0.25">
      <c r="G936" s="2"/>
    </row>
    <row r="937" spans="7:7" ht="13.2" x14ac:dyDescent="0.25">
      <c r="G937" s="2"/>
    </row>
    <row r="938" spans="7:7" ht="13.2" x14ac:dyDescent="0.25">
      <c r="G938" s="2"/>
    </row>
    <row r="939" spans="7:7" ht="13.2" x14ac:dyDescent="0.25">
      <c r="G939" s="2"/>
    </row>
    <row r="940" spans="7:7" ht="13.2" x14ac:dyDescent="0.25">
      <c r="G940" s="2"/>
    </row>
    <row r="941" spans="7:7" ht="13.2" x14ac:dyDescent="0.25">
      <c r="G941" s="2"/>
    </row>
    <row r="942" spans="7:7" ht="13.2" x14ac:dyDescent="0.25">
      <c r="G942" s="2"/>
    </row>
    <row r="943" spans="7:7" ht="13.2" x14ac:dyDescent="0.25">
      <c r="G943" s="2"/>
    </row>
    <row r="944" spans="7:7" ht="13.2" x14ac:dyDescent="0.25">
      <c r="G944" s="2"/>
    </row>
    <row r="945" spans="7:7" ht="13.2" x14ac:dyDescent="0.25">
      <c r="G945" s="2"/>
    </row>
    <row r="946" spans="7:7" ht="13.2" x14ac:dyDescent="0.25">
      <c r="G946" s="2"/>
    </row>
    <row r="947" spans="7:7" ht="13.2" x14ac:dyDescent="0.25">
      <c r="G947" s="2"/>
    </row>
    <row r="948" spans="7:7" ht="13.2" x14ac:dyDescent="0.25">
      <c r="G948" s="2"/>
    </row>
    <row r="949" spans="7:7" ht="13.2" x14ac:dyDescent="0.25">
      <c r="G949" s="2"/>
    </row>
    <row r="950" spans="7:7" ht="13.2" x14ac:dyDescent="0.25">
      <c r="G950" s="2"/>
    </row>
    <row r="951" spans="7:7" ht="13.2" x14ac:dyDescent="0.25">
      <c r="G951" s="2"/>
    </row>
    <row r="952" spans="7:7" ht="13.2" x14ac:dyDescent="0.25">
      <c r="G952" s="2"/>
    </row>
    <row r="953" spans="7:7" ht="13.2" x14ac:dyDescent="0.25">
      <c r="G953" s="2"/>
    </row>
    <row r="954" spans="7:7" ht="13.2" x14ac:dyDescent="0.25">
      <c r="G954" s="2"/>
    </row>
    <row r="955" spans="7:7" ht="13.2" x14ac:dyDescent="0.25">
      <c r="G955" s="2"/>
    </row>
    <row r="956" spans="7:7" ht="13.2" x14ac:dyDescent="0.25">
      <c r="G956" s="2"/>
    </row>
    <row r="957" spans="7:7" ht="13.2" x14ac:dyDescent="0.25">
      <c r="G957" s="2"/>
    </row>
    <row r="958" spans="7:7" ht="13.2" x14ac:dyDescent="0.25">
      <c r="G958" s="2"/>
    </row>
    <row r="959" spans="7:7" ht="13.2" x14ac:dyDescent="0.25">
      <c r="G959" s="2"/>
    </row>
    <row r="960" spans="7:7" ht="13.2" x14ac:dyDescent="0.25">
      <c r="G960" s="2"/>
    </row>
    <row r="961" spans="7:7" ht="13.2" x14ac:dyDescent="0.25">
      <c r="G961" s="2"/>
    </row>
    <row r="962" spans="7:7" ht="13.2" x14ac:dyDescent="0.25">
      <c r="G962" s="2"/>
    </row>
    <row r="963" spans="7:7" ht="13.2" x14ac:dyDescent="0.25">
      <c r="G963" s="2"/>
    </row>
    <row r="964" spans="7:7" ht="13.2" x14ac:dyDescent="0.25">
      <c r="G964" s="2"/>
    </row>
    <row r="965" spans="7:7" ht="13.2" x14ac:dyDescent="0.25">
      <c r="G965" s="2"/>
    </row>
    <row r="966" spans="7:7" ht="13.2" x14ac:dyDescent="0.25">
      <c r="G966" s="2"/>
    </row>
    <row r="967" spans="7:7" ht="13.2" x14ac:dyDescent="0.25">
      <c r="G967" s="2"/>
    </row>
    <row r="968" spans="7:7" ht="13.2" x14ac:dyDescent="0.25">
      <c r="G968" s="2"/>
    </row>
    <row r="969" spans="7:7" ht="13.2" x14ac:dyDescent="0.25">
      <c r="G969" s="2"/>
    </row>
    <row r="970" spans="7:7" ht="13.2" x14ac:dyDescent="0.25">
      <c r="G970" s="2"/>
    </row>
    <row r="971" spans="7:7" ht="13.2" x14ac:dyDescent="0.25">
      <c r="G971" s="2"/>
    </row>
    <row r="972" spans="7:7" ht="13.2" x14ac:dyDescent="0.25">
      <c r="G972" s="2"/>
    </row>
    <row r="973" spans="7:7" ht="13.2" x14ac:dyDescent="0.25">
      <c r="G973" s="2"/>
    </row>
    <row r="974" spans="7:7" ht="13.2" x14ac:dyDescent="0.25">
      <c r="G974" s="2"/>
    </row>
    <row r="975" spans="7:7" ht="13.2" x14ac:dyDescent="0.25">
      <c r="G975" s="2"/>
    </row>
    <row r="976" spans="7:7" ht="13.2" x14ac:dyDescent="0.25">
      <c r="G976" s="2"/>
    </row>
    <row r="977" spans="7:7" ht="13.2" x14ac:dyDescent="0.25">
      <c r="G977" s="2"/>
    </row>
    <row r="978" spans="7:7" ht="13.2" x14ac:dyDescent="0.25">
      <c r="G978" s="2"/>
    </row>
    <row r="979" spans="7:7" ht="13.2" x14ac:dyDescent="0.25">
      <c r="G979" s="2"/>
    </row>
    <row r="980" spans="7:7" ht="13.2" x14ac:dyDescent="0.25">
      <c r="G980" s="2"/>
    </row>
    <row r="981" spans="7:7" ht="13.2" x14ac:dyDescent="0.25">
      <c r="G981" s="2"/>
    </row>
    <row r="982" spans="7:7" ht="13.2" x14ac:dyDescent="0.25">
      <c r="G982" s="2"/>
    </row>
    <row r="983" spans="7:7" ht="13.2" x14ac:dyDescent="0.25">
      <c r="G983" s="2"/>
    </row>
    <row r="984" spans="7:7" ht="13.2" x14ac:dyDescent="0.25">
      <c r="G984" s="2"/>
    </row>
    <row r="985" spans="7:7" ht="13.2" x14ac:dyDescent="0.25">
      <c r="G985" s="2"/>
    </row>
    <row r="986" spans="7:7" ht="13.2" x14ac:dyDescent="0.25">
      <c r="G986" s="2"/>
    </row>
    <row r="987" spans="7:7" ht="13.2" x14ac:dyDescent="0.25">
      <c r="G987" s="2"/>
    </row>
    <row r="988" spans="7:7" ht="13.2" x14ac:dyDescent="0.25">
      <c r="G988" s="2"/>
    </row>
    <row r="989" spans="7:7" ht="13.2" x14ac:dyDescent="0.25">
      <c r="G989" s="2"/>
    </row>
    <row r="990" spans="7:7" ht="13.2" x14ac:dyDescent="0.25">
      <c r="G990" s="2"/>
    </row>
    <row r="991" spans="7:7" ht="13.2" x14ac:dyDescent="0.25">
      <c r="G991" s="2"/>
    </row>
    <row r="992" spans="7:7" ht="13.2" x14ac:dyDescent="0.25">
      <c r="G992" s="2"/>
    </row>
    <row r="993" spans="7:7" ht="13.2" x14ac:dyDescent="0.25">
      <c r="G993" s="2"/>
    </row>
    <row r="994" spans="7:7" ht="13.2" x14ac:dyDescent="0.25">
      <c r="G994" s="2"/>
    </row>
    <row r="995" spans="7:7" ht="13.2" x14ac:dyDescent="0.25">
      <c r="G995" s="2"/>
    </row>
    <row r="996" spans="7:7" ht="13.2" x14ac:dyDescent="0.25">
      <c r="G996" s="2"/>
    </row>
    <row r="997" spans="7:7" ht="13.2" x14ac:dyDescent="0.25">
      <c r="G997" s="2"/>
    </row>
    <row r="998" spans="7:7" ht="13.2" x14ac:dyDescent="0.25">
      <c r="G998" s="2"/>
    </row>
    <row r="999" spans="7:7" ht="13.2" x14ac:dyDescent="0.25">
      <c r="G999" s="2"/>
    </row>
    <row r="1000" spans="7:7" ht="13.2" x14ac:dyDescent="0.25">
      <c r="G1000" s="2"/>
    </row>
    <row r="1001" spans="7:7" ht="13.2" x14ac:dyDescent="0.25">
      <c r="G1001" s="2"/>
    </row>
    <row r="1002" spans="7:7" ht="13.2" x14ac:dyDescent="0.25">
      <c r="G1002" s="2"/>
    </row>
    <row r="1003" spans="7:7" ht="13.2" x14ac:dyDescent="0.25">
      <c r="G1003" s="2"/>
    </row>
    <row r="1004" spans="7:7" ht="13.2" x14ac:dyDescent="0.25">
      <c r="G1004" s="2"/>
    </row>
    <row r="1005" spans="7:7" ht="13.2" x14ac:dyDescent="0.25">
      <c r="G1005" s="2"/>
    </row>
    <row r="1006" spans="7:7" ht="13.2" x14ac:dyDescent="0.25">
      <c r="G1006" s="2"/>
    </row>
    <row r="1007" spans="7:7" ht="13.2" x14ac:dyDescent="0.25">
      <c r="G1007" s="2"/>
    </row>
    <row r="1008" spans="7:7" ht="13.2" x14ac:dyDescent="0.25">
      <c r="G1008" s="2"/>
    </row>
    <row r="1009" spans="7:7" ht="13.2" x14ac:dyDescent="0.25">
      <c r="G1009" s="2"/>
    </row>
    <row r="1010" spans="7:7" ht="13.2" x14ac:dyDescent="0.25">
      <c r="G1010" s="2"/>
    </row>
    <row r="1011" spans="7:7" ht="13.2" x14ac:dyDescent="0.25">
      <c r="G1011" s="2"/>
    </row>
    <row r="1012" spans="7:7" ht="13.2" x14ac:dyDescent="0.25">
      <c r="G1012" s="2"/>
    </row>
    <row r="1013" spans="7:7" ht="13.2" x14ac:dyDescent="0.25">
      <c r="G1013" s="2"/>
    </row>
    <row r="1014" spans="7:7" ht="13.2" x14ac:dyDescent="0.25">
      <c r="G1014" s="2"/>
    </row>
    <row r="1015" spans="7:7" ht="13.2" x14ac:dyDescent="0.25">
      <c r="G1015" s="2"/>
    </row>
    <row r="1016" spans="7:7" ht="13.2" x14ac:dyDescent="0.25">
      <c r="G1016" s="2"/>
    </row>
    <row r="1017" spans="7:7" ht="13.2" x14ac:dyDescent="0.25">
      <c r="G1017" s="2"/>
    </row>
    <row r="1018" spans="7:7" ht="13.2" x14ac:dyDescent="0.25">
      <c r="G1018" s="2"/>
    </row>
    <row r="1019" spans="7:7" ht="13.2" x14ac:dyDescent="0.25">
      <c r="G1019" s="2"/>
    </row>
    <row r="1020" spans="7:7" ht="13.2" x14ac:dyDescent="0.25">
      <c r="G1020" s="2"/>
    </row>
    <row r="1021" spans="7:7" ht="13.2" x14ac:dyDescent="0.25">
      <c r="G1021" s="2"/>
    </row>
    <row r="1022" spans="7:7" ht="13.2" x14ac:dyDescent="0.25">
      <c r="G1022" s="2"/>
    </row>
    <row r="1023" spans="7:7" ht="13.2" x14ac:dyDescent="0.25">
      <c r="G1023" s="2"/>
    </row>
    <row r="1024" spans="7:7" ht="13.2" x14ac:dyDescent="0.25">
      <c r="G1024" s="2"/>
    </row>
    <row r="1025" spans="7:7" ht="13.2" x14ac:dyDescent="0.25">
      <c r="G1025" s="2"/>
    </row>
    <row r="1026" spans="7:7" ht="13.2" x14ac:dyDescent="0.25">
      <c r="G1026" s="2"/>
    </row>
    <row r="1027" spans="7:7" ht="13.2" x14ac:dyDescent="0.25">
      <c r="G1027" s="2"/>
    </row>
    <row r="1028" spans="7:7" ht="13.2" x14ac:dyDescent="0.25">
      <c r="G1028" s="2"/>
    </row>
    <row r="1029" spans="7:7" ht="13.2" x14ac:dyDescent="0.25">
      <c r="G1029" s="2"/>
    </row>
    <row r="1030" spans="7:7" ht="13.2" x14ac:dyDescent="0.25">
      <c r="G1030" s="2"/>
    </row>
    <row r="1031" spans="7:7" ht="13.2" x14ac:dyDescent="0.25">
      <c r="G1031" s="2"/>
    </row>
    <row r="1032" spans="7:7" ht="13.2" x14ac:dyDescent="0.25">
      <c r="G1032" s="2"/>
    </row>
    <row r="1033" spans="7:7" ht="13.2" x14ac:dyDescent="0.25">
      <c r="G1033" s="2"/>
    </row>
    <row r="1034" spans="7:7" ht="13.2" x14ac:dyDescent="0.25">
      <c r="G1034" s="2"/>
    </row>
    <row r="1035" spans="7:7" ht="13.2" x14ac:dyDescent="0.25">
      <c r="G1035" s="2"/>
    </row>
    <row r="1036" spans="7:7" ht="13.2" x14ac:dyDescent="0.25">
      <c r="G1036" s="2"/>
    </row>
    <row r="1037" spans="7:7" ht="13.2" x14ac:dyDescent="0.25">
      <c r="G1037" s="2"/>
    </row>
    <row r="1038" spans="7:7" ht="13.2" x14ac:dyDescent="0.25">
      <c r="G1038" s="2"/>
    </row>
    <row r="1039" spans="7:7" ht="13.2" x14ac:dyDescent="0.25">
      <c r="G1039" s="2"/>
    </row>
    <row r="1040" spans="7:7" ht="13.2" x14ac:dyDescent="0.25">
      <c r="G1040" s="2"/>
    </row>
    <row r="1041" spans="7:7" ht="13.2" x14ac:dyDescent="0.25">
      <c r="G1041" s="2"/>
    </row>
    <row r="1042" spans="7:7" ht="13.2" x14ac:dyDescent="0.25">
      <c r="G1042" s="2"/>
    </row>
    <row r="1043" spans="7:7" ht="13.2" x14ac:dyDescent="0.25">
      <c r="G1043" s="2"/>
    </row>
    <row r="1044" spans="7:7" ht="13.2" x14ac:dyDescent="0.25">
      <c r="G1044" s="2"/>
    </row>
    <row r="1045" spans="7:7" ht="13.2" x14ac:dyDescent="0.25">
      <c r="G1045" s="2"/>
    </row>
    <row r="1046" spans="7:7" ht="13.2" x14ac:dyDescent="0.25">
      <c r="G1046" s="2"/>
    </row>
    <row r="1047" spans="7:7" ht="13.2" x14ac:dyDescent="0.25">
      <c r="G1047" s="2"/>
    </row>
    <row r="1048" spans="7:7" ht="13.2" x14ac:dyDescent="0.25">
      <c r="G1048" s="2"/>
    </row>
    <row r="1049" spans="7:7" ht="13.2" x14ac:dyDescent="0.25">
      <c r="G1049" s="2"/>
    </row>
    <row r="1050" spans="7:7" ht="13.2" x14ac:dyDescent="0.25">
      <c r="G1050" s="2"/>
    </row>
    <row r="1051" spans="7:7" ht="13.2" x14ac:dyDescent="0.25">
      <c r="G1051" s="2"/>
    </row>
    <row r="1052" spans="7:7" ht="13.2" x14ac:dyDescent="0.25">
      <c r="G1052" s="2"/>
    </row>
    <row r="1053" spans="7:7" ht="13.2" x14ac:dyDescent="0.25">
      <c r="G1053" s="2"/>
    </row>
    <row r="1054" spans="7:7" ht="13.2" x14ac:dyDescent="0.25">
      <c r="G1054" s="2"/>
    </row>
    <row r="1055" spans="7:7" ht="13.2" x14ac:dyDescent="0.25">
      <c r="G1055" s="2"/>
    </row>
    <row r="1056" spans="7:7" ht="13.2" x14ac:dyDescent="0.25">
      <c r="G1056" s="2"/>
    </row>
    <row r="1057" spans="7:7" ht="13.2" x14ac:dyDescent="0.25">
      <c r="G1057" s="2"/>
    </row>
    <row r="1058" spans="7:7" ht="13.2" x14ac:dyDescent="0.25">
      <c r="G1058" s="2"/>
    </row>
    <row r="1059" spans="7:7" ht="13.2" x14ac:dyDescent="0.25">
      <c r="G1059" s="2"/>
    </row>
    <row r="1060" spans="7:7" ht="13.2" x14ac:dyDescent="0.25">
      <c r="G1060" s="2"/>
    </row>
    <row r="1061" spans="7:7" ht="13.2" x14ac:dyDescent="0.25">
      <c r="G1061" s="2"/>
    </row>
    <row r="1062" spans="7:7" ht="13.2" x14ac:dyDescent="0.25">
      <c r="G1062" s="2"/>
    </row>
    <row r="1063" spans="7:7" ht="13.2" x14ac:dyDescent="0.25">
      <c r="G1063" s="2"/>
    </row>
    <row r="1064" spans="7:7" ht="13.2" x14ac:dyDescent="0.25">
      <c r="G1064" s="2"/>
    </row>
    <row r="1065" spans="7:7" ht="13.2" x14ac:dyDescent="0.25">
      <c r="G1065" s="2"/>
    </row>
    <row r="1066" spans="7:7" ht="13.2" x14ac:dyDescent="0.25">
      <c r="G1066" s="2"/>
    </row>
    <row r="1067" spans="7:7" ht="13.2" x14ac:dyDescent="0.25">
      <c r="G1067" s="2"/>
    </row>
    <row r="1068" spans="7:7" ht="13.2" x14ac:dyDescent="0.25">
      <c r="G1068" s="2"/>
    </row>
    <row r="1069" spans="7:7" ht="13.2" x14ac:dyDescent="0.25">
      <c r="G1069" s="2"/>
    </row>
    <row r="1070" spans="7:7" ht="13.2" x14ac:dyDescent="0.25">
      <c r="G1070" s="2"/>
    </row>
    <row r="1071" spans="7:7" ht="13.2" x14ac:dyDescent="0.25">
      <c r="G1071" s="2"/>
    </row>
    <row r="1072" spans="7:7" ht="13.2" x14ac:dyDescent="0.25">
      <c r="G1072" s="2"/>
    </row>
    <row r="1073" spans="7:7" ht="13.2" x14ac:dyDescent="0.25">
      <c r="G1073" s="2"/>
    </row>
    <row r="1074" spans="7:7" ht="13.2" x14ac:dyDescent="0.25">
      <c r="G1074" s="2"/>
    </row>
    <row r="1075" spans="7:7" ht="13.2" x14ac:dyDescent="0.25">
      <c r="G1075" s="2"/>
    </row>
    <row r="1076" spans="7:7" ht="13.2" x14ac:dyDescent="0.25">
      <c r="G1076" s="2"/>
    </row>
    <row r="1077" spans="7:7" ht="13.2" x14ac:dyDescent="0.25">
      <c r="G1077" s="2"/>
    </row>
    <row r="1078" spans="7:7" ht="13.2" x14ac:dyDescent="0.25">
      <c r="G1078" s="2"/>
    </row>
    <row r="1079" spans="7:7" ht="13.2" x14ac:dyDescent="0.25">
      <c r="G1079" s="2"/>
    </row>
    <row r="1080" spans="7:7" ht="13.2" x14ac:dyDescent="0.25">
      <c r="G1080" s="2"/>
    </row>
    <row r="1081" spans="7:7" ht="13.2" x14ac:dyDescent="0.25">
      <c r="G1081" s="2"/>
    </row>
    <row r="1082" spans="7:7" ht="13.2" x14ac:dyDescent="0.25">
      <c r="G1082" s="2"/>
    </row>
    <row r="1083" spans="7:7" ht="13.2" x14ac:dyDescent="0.25">
      <c r="G1083" s="2"/>
    </row>
    <row r="1084" spans="7:7" ht="13.2" x14ac:dyDescent="0.25">
      <c r="G1084" s="2"/>
    </row>
    <row r="1085" spans="7:7" ht="13.2" x14ac:dyDescent="0.25">
      <c r="G1085" s="2"/>
    </row>
    <row r="1086" spans="7:7" ht="13.2" x14ac:dyDescent="0.25">
      <c r="G1086" s="2"/>
    </row>
    <row r="1087" spans="7:7" ht="13.2" x14ac:dyDescent="0.25">
      <c r="G1087" s="2"/>
    </row>
    <row r="1088" spans="7:7" ht="13.2" x14ac:dyDescent="0.25">
      <c r="G1088" s="2"/>
    </row>
    <row r="1089" spans="7:7" ht="13.2" x14ac:dyDescent="0.25">
      <c r="G1089" s="2"/>
    </row>
    <row r="1090" spans="7:7" ht="13.2" x14ac:dyDescent="0.25">
      <c r="G1090" s="2"/>
    </row>
    <row r="1091" spans="7:7" ht="13.2" x14ac:dyDescent="0.25">
      <c r="G1091" s="2"/>
    </row>
    <row r="1092" spans="7:7" ht="13.2" x14ac:dyDescent="0.25">
      <c r="G1092" s="2"/>
    </row>
    <row r="1093" spans="7:7" ht="13.2" x14ac:dyDescent="0.25">
      <c r="G1093" s="2"/>
    </row>
    <row r="1094" spans="7:7" ht="13.2" x14ac:dyDescent="0.25">
      <c r="G1094" s="2"/>
    </row>
    <row r="1095" spans="7:7" ht="13.2" x14ac:dyDescent="0.25">
      <c r="G1095" s="2"/>
    </row>
    <row r="1096" spans="7:7" ht="13.2" x14ac:dyDescent="0.25">
      <c r="G1096" s="2"/>
    </row>
    <row r="1097" spans="7:7" ht="13.2" x14ac:dyDescent="0.25">
      <c r="G1097" s="2"/>
    </row>
    <row r="1098" spans="7:7" ht="13.2" x14ac:dyDescent="0.25">
      <c r="G1098" s="2"/>
    </row>
    <row r="1099" spans="7:7" ht="13.2" x14ac:dyDescent="0.25">
      <c r="G1099" s="2"/>
    </row>
    <row r="1100" spans="7:7" ht="13.2" x14ac:dyDescent="0.25">
      <c r="G1100" s="2"/>
    </row>
    <row r="1101" spans="7:7" ht="13.2" x14ac:dyDescent="0.25">
      <c r="G1101" s="2"/>
    </row>
    <row r="1102" spans="7:7" ht="13.2" x14ac:dyDescent="0.25">
      <c r="G1102" s="2"/>
    </row>
    <row r="1103" spans="7:7" ht="13.2" x14ac:dyDescent="0.25">
      <c r="G1103" s="2"/>
    </row>
    <row r="1104" spans="7:7" ht="13.2" x14ac:dyDescent="0.25">
      <c r="G1104" s="2"/>
    </row>
    <row r="1105" spans="7:7" ht="13.2" x14ac:dyDescent="0.25">
      <c r="G1105" s="2"/>
    </row>
    <row r="1106" spans="7:7" ht="13.2" x14ac:dyDescent="0.25">
      <c r="G1106" s="2"/>
    </row>
    <row r="1107" spans="7:7" ht="13.2" x14ac:dyDescent="0.25">
      <c r="G1107" s="2"/>
    </row>
    <row r="1108" spans="7:7" ht="13.2" x14ac:dyDescent="0.25">
      <c r="G1108" s="2"/>
    </row>
    <row r="1109" spans="7:7" ht="13.2" x14ac:dyDescent="0.25">
      <c r="G1109" s="2"/>
    </row>
    <row r="1110" spans="7:7" ht="13.2" x14ac:dyDescent="0.25">
      <c r="G1110" s="2"/>
    </row>
    <row r="1111" spans="7:7" ht="13.2" x14ac:dyDescent="0.25">
      <c r="G1111" s="2"/>
    </row>
    <row r="1112" spans="7:7" ht="13.2" x14ac:dyDescent="0.25">
      <c r="G1112" s="2"/>
    </row>
    <row r="1113" spans="7:7" ht="13.2" x14ac:dyDescent="0.25">
      <c r="G1113" s="2"/>
    </row>
    <row r="1114" spans="7:7" ht="13.2" x14ac:dyDescent="0.25">
      <c r="G1114" s="2"/>
    </row>
    <row r="1115" spans="7:7" ht="13.2" x14ac:dyDescent="0.25">
      <c r="G1115" s="2"/>
    </row>
    <row r="1116" spans="7:7" ht="13.2" x14ac:dyDescent="0.25">
      <c r="G1116" s="2"/>
    </row>
    <row r="1117" spans="7:7" ht="13.2" x14ac:dyDescent="0.25">
      <c r="G1117" s="2"/>
    </row>
    <row r="1118" spans="7:7" ht="13.2" x14ac:dyDescent="0.25">
      <c r="G1118" s="2"/>
    </row>
    <row r="1119" spans="7:7" ht="13.2" x14ac:dyDescent="0.25">
      <c r="G1119" s="2"/>
    </row>
    <row r="1120" spans="7:7" ht="13.2" x14ac:dyDescent="0.25">
      <c r="G1120" s="2"/>
    </row>
    <row r="1121" spans="7:7" ht="13.2" x14ac:dyDescent="0.25">
      <c r="G1121" s="2"/>
    </row>
    <row r="1122" spans="7:7" ht="13.2" x14ac:dyDescent="0.25">
      <c r="G1122" s="2"/>
    </row>
    <row r="1123" spans="7:7" ht="13.2" x14ac:dyDescent="0.25">
      <c r="G1123" s="2"/>
    </row>
    <row r="1124" spans="7:7" ht="13.2" x14ac:dyDescent="0.25">
      <c r="G1124" s="2"/>
    </row>
    <row r="1125" spans="7:7" ht="13.2" x14ac:dyDescent="0.25">
      <c r="G1125" s="2"/>
    </row>
    <row r="1126" spans="7:7" ht="13.2" x14ac:dyDescent="0.25">
      <c r="G1126" s="2"/>
    </row>
    <row r="1127" spans="7:7" ht="13.2" x14ac:dyDescent="0.25">
      <c r="G1127" s="2"/>
    </row>
    <row r="1128" spans="7:7" ht="13.2" x14ac:dyDescent="0.25">
      <c r="G1128" s="2"/>
    </row>
    <row r="1129" spans="7:7" ht="13.2" x14ac:dyDescent="0.25">
      <c r="G1129" s="2"/>
    </row>
    <row r="1130" spans="7:7" ht="13.2" x14ac:dyDescent="0.25">
      <c r="G1130" s="2"/>
    </row>
    <row r="1131" spans="7:7" ht="13.2" x14ac:dyDescent="0.25">
      <c r="G1131" s="2"/>
    </row>
    <row r="1132" spans="7:7" ht="13.2" x14ac:dyDescent="0.25">
      <c r="G1132" s="2"/>
    </row>
    <row r="1133" spans="7:7" ht="13.2" x14ac:dyDescent="0.25">
      <c r="G1133" s="2"/>
    </row>
    <row r="1134" spans="7:7" ht="13.2" x14ac:dyDescent="0.25">
      <c r="G1134" s="2"/>
    </row>
    <row r="1135" spans="7:7" ht="13.2" x14ac:dyDescent="0.25">
      <c r="G1135" s="2"/>
    </row>
    <row r="1136" spans="7:7" ht="13.2" x14ac:dyDescent="0.25">
      <c r="G1136" s="2"/>
    </row>
    <row r="1137" spans="7:7" ht="13.2" x14ac:dyDescent="0.25">
      <c r="G1137" s="2"/>
    </row>
    <row r="1138" spans="7:7" ht="13.2" x14ac:dyDescent="0.25">
      <c r="G1138" s="2"/>
    </row>
    <row r="1139" spans="7:7" ht="13.2" x14ac:dyDescent="0.25">
      <c r="G1139" s="2"/>
    </row>
    <row r="1140" spans="7:7" ht="13.2" x14ac:dyDescent="0.25">
      <c r="G1140" s="2"/>
    </row>
    <row r="1141" spans="7:7" ht="13.2" x14ac:dyDescent="0.25">
      <c r="G1141" s="2"/>
    </row>
    <row r="1142" spans="7:7" ht="13.2" x14ac:dyDescent="0.25">
      <c r="G1142" s="2"/>
    </row>
    <row r="1143" spans="7:7" ht="13.2" x14ac:dyDescent="0.25">
      <c r="G1143" s="2"/>
    </row>
    <row r="1144" spans="7:7" ht="13.2" x14ac:dyDescent="0.25">
      <c r="G1144" s="2"/>
    </row>
    <row r="1145" spans="7:7" ht="13.2" x14ac:dyDescent="0.25">
      <c r="G1145" s="2"/>
    </row>
    <row r="1146" spans="7:7" ht="13.2" x14ac:dyDescent="0.25">
      <c r="G1146" s="2"/>
    </row>
    <row r="1147" spans="7:7" ht="13.2" x14ac:dyDescent="0.25">
      <c r="G1147" s="2"/>
    </row>
    <row r="1148" spans="7:7" ht="13.2" x14ac:dyDescent="0.25">
      <c r="G1148" s="2"/>
    </row>
    <row r="1149" spans="7:7" ht="13.2" x14ac:dyDescent="0.25">
      <c r="G1149" s="2"/>
    </row>
    <row r="1150" spans="7:7" ht="13.2" x14ac:dyDescent="0.25">
      <c r="G1150" s="2"/>
    </row>
    <row r="1151" spans="7:7" ht="13.2" x14ac:dyDescent="0.25">
      <c r="G1151" s="2"/>
    </row>
    <row r="1152" spans="7:7" ht="13.2" x14ac:dyDescent="0.25">
      <c r="G1152" s="2"/>
    </row>
    <row r="1153" spans="7:7" ht="13.2" x14ac:dyDescent="0.25">
      <c r="G1153" s="2"/>
    </row>
    <row r="1154" spans="7:7" ht="13.2" x14ac:dyDescent="0.25">
      <c r="G1154" s="2"/>
    </row>
    <row r="1155" spans="7:7" ht="13.2" x14ac:dyDescent="0.25">
      <c r="G1155" s="2"/>
    </row>
    <row r="1156" spans="7:7" ht="13.2" x14ac:dyDescent="0.25">
      <c r="G1156" s="2"/>
    </row>
    <row r="1157" spans="7:7" ht="13.2" x14ac:dyDescent="0.25">
      <c r="G1157" s="2"/>
    </row>
    <row r="1158" spans="7:7" ht="13.2" x14ac:dyDescent="0.25">
      <c r="G1158" s="2"/>
    </row>
    <row r="1159" spans="7:7" ht="13.2" x14ac:dyDescent="0.25">
      <c r="G1159" s="2"/>
    </row>
    <row r="1160" spans="7:7" ht="13.2" x14ac:dyDescent="0.25">
      <c r="G1160" s="2"/>
    </row>
    <row r="1161" spans="7:7" ht="13.2" x14ac:dyDescent="0.25">
      <c r="G1161" s="2"/>
    </row>
    <row r="1162" spans="7:7" ht="13.2" x14ac:dyDescent="0.25">
      <c r="G1162" s="2"/>
    </row>
    <row r="1163" spans="7:7" ht="13.2" x14ac:dyDescent="0.25">
      <c r="G1163" s="2"/>
    </row>
    <row r="1164" spans="7:7" ht="13.2" x14ac:dyDescent="0.25">
      <c r="G1164" s="2"/>
    </row>
    <row r="1165" spans="7:7" ht="13.2" x14ac:dyDescent="0.25">
      <c r="G1165" s="2"/>
    </row>
    <row r="1166" spans="7:7" ht="13.2" x14ac:dyDescent="0.25">
      <c r="G1166" s="2"/>
    </row>
    <row r="1167" spans="7:7" ht="13.2" x14ac:dyDescent="0.25">
      <c r="G1167" s="2"/>
    </row>
    <row r="1168" spans="7:7" ht="13.2" x14ac:dyDescent="0.25">
      <c r="G1168" s="2"/>
    </row>
    <row r="1169" spans="7:7" ht="13.2" x14ac:dyDescent="0.25">
      <c r="G1169" s="2"/>
    </row>
    <row r="1170" spans="7:7" ht="13.2" x14ac:dyDescent="0.25">
      <c r="G1170" s="2"/>
    </row>
    <row r="1171" spans="7:7" ht="13.2" x14ac:dyDescent="0.25">
      <c r="G1171" s="2"/>
    </row>
    <row r="1172" spans="7:7" ht="13.2" x14ac:dyDescent="0.25">
      <c r="G1172" s="2"/>
    </row>
    <row r="1173" spans="7:7" ht="13.2" x14ac:dyDescent="0.25">
      <c r="G1173" s="2"/>
    </row>
    <row r="1174" spans="7:7" ht="13.2" x14ac:dyDescent="0.25">
      <c r="G1174" s="2"/>
    </row>
    <row r="1175" spans="7:7" ht="13.2" x14ac:dyDescent="0.25">
      <c r="G1175" s="2"/>
    </row>
    <row r="1176" spans="7:7" ht="13.2" x14ac:dyDescent="0.25">
      <c r="G1176" s="2"/>
    </row>
    <row r="1177" spans="7:7" ht="13.2" x14ac:dyDescent="0.25">
      <c r="G1177" s="2"/>
    </row>
    <row r="1178" spans="7:7" ht="13.2" x14ac:dyDescent="0.25">
      <c r="G1178" s="2"/>
    </row>
    <row r="1179" spans="7:7" ht="13.2" x14ac:dyDescent="0.25">
      <c r="G1179" s="2"/>
    </row>
    <row r="1180" spans="7:7" ht="13.2" x14ac:dyDescent="0.25">
      <c r="G1180" s="2"/>
    </row>
    <row r="1181" spans="7:7" ht="13.2" x14ac:dyDescent="0.25">
      <c r="G1181" s="2"/>
    </row>
    <row r="1182" spans="7:7" ht="13.2" x14ac:dyDescent="0.25">
      <c r="G1182" s="2"/>
    </row>
    <row r="1183" spans="7:7" ht="13.2" x14ac:dyDescent="0.25">
      <c r="G1183" s="2"/>
    </row>
    <row r="1184" spans="7:7" ht="13.2" x14ac:dyDescent="0.25">
      <c r="G1184" s="2"/>
    </row>
    <row r="1185" spans="7:7" ht="13.2" x14ac:dyDescent="0.25">
      <c r="G1185" s="2"/>
    </row>
    <row r="1186" spans="7:7" ht="13.2" x14ac:dyDescent="0.25">
      <c r="G1186" s="2"/>
    </row>
    <row r="1187" spans="7:7" ht="13.2" x14ac:dyDescent="0.25">
      <c r="G1187" s="2"/>
    </row>
    <row r="1188" spans="7:7" ht="13.2" x14ac:dyDescent="0.25">
      <c r="G1188" s="2"/>
    </row>
    <row r="1189" spans="7:7" ht="13.2" x14ac:dyDescent="0.25">
      <c r="G1189" s="2"/>
    </row>
    <row r="1190" spans="7:7" ht="13.2" x14ac:dyDescent="0.25">
      <c r="G1190" s="2"/>
    </row>
    <row r="1191" spans="7:7" ht="13.2" x14ac:dyDescent="0.25">
      <c r="G1191" s="2"/>
    </row>
    <row r="1192" spans="7:7" ht="13.2" x14ac:dyDescent="0.25">
      <c r="G1192" s="2"/>
    </row>
    <row r="1193" spans="7:7" ht="13.2" x14ac:dyDescent="0.25">
      <c r="G1193" s="2"/>
    </row>
    <row r="1194" spans="7:7" ht="13.2" x14ac:dyDescent="0.25">
      <c r="G1194" s="2"/>
    </row>
    <row r="1195" spans="7:7" ht="13.2" x14ac:dyDescent="0.25">
      <c r="G1195" s="2"/>
    </row>
    <row r="1196" spans="7:7" ht="13.2" x14ac:dyDescent="0.25">
      <c r="G1196" s="2"/>
    </row>
    <row r="1197" spans="7:7" ht="13.2" x14ac:dyDescent="0.25">
      <c r="G1197" s="2"/>
    </row>
    <row r="1198" spans="7:7" ht="13.2" x14ac:dyDescent="0.25">
      <c r="G1198" s="2"/>
    </row>
    <row r="1199" spans="7:7" ht="13.2" x14ac:dyDescent="0.25">
      <c r="G1199" s="2"/>
    </row>
    <row r="1200" spans="7:7" ht="13.2" x14ac:dyDescent="0.25">
      <c r="G1200" s="2"/>
    </row>
    <row r="1201" spans="7:7" ht="13.2" x14ac:dyDescent="0.25">
      <c r="G1201" s="2"/>
    </row>
    <row r="1202" spans="7:7" ht="13.2" x14ac:dyDescent="0.25">
      <c r="G1202" s="2"/>
    </row>
    <row r="1203" spans="7:7" ht="13.2" x14ac:dyDescent="0.25">
      <c r="G1203" s="2"/>
    </row>
    <row r="1204" spans="7:7" ht="13.2" x14ac:dyDescent="0.25">
      <c r="G1204" s="2"/>
    </row>
    <row r="1205" spans="7:7" ht="13.2" x14ac:dyDescent="0.25">
      <c r="G1205" s="2"/>
    </row>
    <row r="1206" spans="7:7" ht="13.2" x14ac:dyDescent="0.25">
      <c r="G1206" s="2"/>
    </row>
    <row r="1207" spans="7:7" ht="13.2" x14ac:dyDescent="0.25">
      <c r="G1207" s="2"/>
    </row>
    <row r="1208" spans="7:7" ht="13.2" x14ac:dyDescent="0.25">
      <c r="G1208" s="2"/>
    </row>
    <row r="1209" spans="7:7" ht="13.2" x14ac:dyDescent="0.25">
      <c r="G1209" s="2"/>
    </row>
    <row r="1210" spans="7:7" ht="13.2" x14ac:dyDescent="0.25">
      <c r="G1210" s="2"/>
    </row>
    <row r="1211" spans="7:7" ht="13.2" x14ac:dyDescent="0.25">
      <c r="G1211" s="2"/>
    </row>
    <row r="1212" spans="7:7" ht="13.2" x14ac:dyDescent="0.25">
      <c r="G1212" s="2"/>
    </row>
    <row r="1213" spans="7:7" ht="13.2" x14ac:dyDescent="0.25">
      <c r="G1213" s="2"/>
    </row>
    <row r="1214" spans="7:7" ht="13.2" x14ac:dyDescent="0.25">
      <c r="G1214" s="2"/>
    </row>
    <row r="1215" spans="7:7" ht="13.2" x14ac:dyDescent="0.25">
      <c r="G1215" s="2"/>
    </row>
    <row r="1216" spans="7:7" ht="13.2" x14ac:dyDescent="0.25">
      <c r="G1216" s="2"/>
    </row>
    <row r="1217" spans="7:7" ht="13.2" x14ac:dyDescent="0.25">
      <c r="G1217" s="2"/>
    </row>
    <row r="1218" spans="7:7" ht="13.2" x14ac:dyDescent="0.25">
      <c r="G1218" s="2"/>
    </row>
    <row r="1219" spans="7:7" ht="13.2" x14ac:dyDescent="0.25">
      <c r="G1219" s="2"/>
    </row>
    <row r="1220" spans="7:7" ht="13.2" x14ac:dyDescent="0.25">
      <c r="G1220" s="2"/>
    </row>
    <row r="1221" spans="7:7" ht="13.2" x14ac:dyDescent="0.25">
      <c r="G1221" s="2"/>
    </row>
    <row r="1222" spans="7:7" ht="13.2" x14ac:dyDescent="0.25">
      <c r="G1222" s="2"/>
    </row>
    <row r="1223" spans="7:7" ht="13.2" x14ac:dyDescent="0.25">
      <c r="G1223" s="2"/>
    </row>
    <row r="1224" spans="7:7" ht="13.2" x14ac:dyDescent="0.25">
      <c r="G1224" s="2"/>
    </row>
    <row r="1225" spans="7:7" ht="13.2" x14ac:dyDescent="0.25">
      <c r="G1225" s="2"/>
    </row>
    <row r="1226" spans="7:7" ht="13.2" x14ac:dyDescent="0.25">
      <c r="G1226" s="2"/>
    </row>
    <row r="1227" spans="7:7" ht="13.2" x14ac:dyDescent="0.25">
      <c r="G1227" s="2"/>
    </row>
    <row r="1228" spans="7:7" ht="13.2" x14ac:dyDescent="0.25">
      <c r="G1228" s="2"/>
    </row>
    <row r="1229" spans="7:7" ht="13.2" x14ac:dyDescent="0.25">
      <c r="G1229" s="2"/>
    </row>
    <row r="1230" spans="7:7" ht="13.2" x14ac:dyDescent="0.25">
      <c r="G1230" s="2"/>
    </row>
    <row r="1231" spans="7:7" ht="13.2" x14ac:dyDescent="0.25">
      <c r="G1231" s="2"/>
    </row>
    <row r="1232" spans="7:7" ht="13.2" x14ac:dyDescent="0.25">
      <c r="G1232" s="2"/>
    </row>
    <row r="1233" spans="7:7" ht="13.2" x14ac:dyDescent="0.25">
      <c r="G1233" s="2"/>
    </row>
    <row r="1234" spans="7:7" ht="13.2" x14ac:dyDescent="0.25">
      <c r="G1234" s="2"/>
    </row>
    <row r="1235" spans="7:7" ht="13.2" x14ac:dyDescent="0.25">
      <c r="G1235" s="2"/>
    </row>
    <row r="1236" spans="7:7" ht="13.2" x14ac:dyDescent="0.25">
      <c r="G1236" s="2"/>
    </row>
    <row r="1237" spans="7:7" ht="13.2" x14ac:dyDescent="0.25">
      <c r="G1237" s="2"/>
    </row>
    <row r="1238" spans="7:7" ht="13.2" x14ac:dyDescent="0.25">
      <c r="G1238" s="2"/>
    </row>
    <row r="1239" spans="7:7" ht="13.2" x14ac:dyDescent="0.25">
      <c r="G1239" s="2"/>
    </row>
    <row r="1240" spans="7:7" ht="13.2" x14ac:dyDescent="0.25">
      <c r="G1240" s="2"/>
    </row>
    <row r="1241" spans="7:7" ht="13.2" x14ac:dyDescent="0.25">
      <c r="G1241" s="2"/>
    </row>
    <row r="1242" spans="7:7" ht="13.2" x14ac:dyDescent="0.25">
      <c r="G1242" s="2"/>
    </row>
    <row r="1243" spans="7:7" ht="13.2" x14ac:dyDescent="0.25">
      <c r="G1243" s="2"/>
    </row>
    <row r="1244" spans="7:7" ht="13.2" x14ac:dyDescent="0.25">
      <c r="G1244" s="2"/>
    </row>
    <row r="1245" spans="7:7" ht="13.2" x14ac:dyDescent="0.25">
      <c r="G1245" s="2"/>
    </row>
    <row r="1246" spans="7:7" ht="13.2" x14ac:dyDescent="0.25">
      <c r="G1246" s="2"/>
    </row>
    <row r="1247" spans="7:7" ht="13.2" x14ac:dyDescent="0.25">
      <c r="G1247" s="2"/>
    </row>
    <row r="1248" spans="7:7" ht="13.2" x14ac:dyDescent="0.25">
      <c r="G1248" s="2"/>
    </row>
    <row r="1249" spans="7:7" ht="13.2" x14ac:dyDescent="0.25">
      <c r="G1249" s="2"/>
    </row>
    <row r="1250" spans="7:7" ht="13.2" x14ac:dyDescent="0.25">
      <c r="G1250" s="2"/>
    </row>
    <row r="1251" spans="7:7" ht="13.2" x14ac:dyDescent="0.25">
      <c r="G1251" s="2"/>
    </row>
    <row r="1252" spans="7:7" ht="13.2" x14ac:dyDescent="0.25">
      <c r="G1252" s="2"/>
    </row>
    <row r="1253" spans="7:7" ht="13.2" x14ac:dyDescent="0.25">
      <c r="G1253" s="2"/>
    </row>
    <row r="1254" spans="7:7" ht="13.2" x14ac:dyDescent="0.25">
      <c r="G1254" s="2"/>
    </row>
    <row r="1255" spans="7:7" ht="13.2" x14ac:dyDescent="0.25">
      <c r="G1255" s="2"/>
    </row>
    <row r="1256" spans="7:7" ht="13.2" x14ac:dyDescent="0.25">
      <c r="G1256" s="2"/>
    </row>
    <row r="1257" spans="7:7" ht="13.2" x14ac:dyDescent="0.25">
      <c r="G1257" s="2"/>
    </row>
    <row r="1258" spans="7:7" ht="13.2" x14ac:dyDescent="0.25">
      <c r="G1258" s="2"/>
    </row>
    <row r="1259" spans="7:7" ht="13.2" x14ac:dyDescent="0.25">
      <c r="G1259" s="2"/>
    </row>
    <row r="1260" spans="7:7" ht="13.2" x14ac:dyDescent="0.25">
      <c r="G1260" s="2"/>
    </row>
    <row r="1261" spans="7:7" ht="13.2" x14ac:dyDescent="0.25">
      <c r="G1261" s="2"/>
    </row>
    <row r="1262" spans="7:7" ht="13.2" x14ac:dyDescent="0.25">
      <c r="G1262" s="2"/>
    </row>
    <row r="1263" spans="7:7" ht="13.2" x14ac:dyDescent="0.25">
      <c r="G1263" s="2"/>
    </row>
    <row r="1264" spans="7:7" ht="13.2" x14ac:dyDescent="0.25">
      <c r="G1264" s="2"/>
    </row>
    <row r="1265" spans="7:7" ht="13.2" x14ac:dyDescent="0.25">
      <c r="G1265" s="2"/>
    </row>
    <row r="1266" spans="7:7" ht="13.2" x14ac:dyDescent="0.25">
      <c r="G1266" s="2"/>
    </row>
    <row r="1267" spans="7:7" ht="13.2" x14ac:dyDescent="0.25">
      <c r="G1267" s="2"/>
    </row>
    <row r="1268" spans="7:7" ht="13.2" x14ac:dyDescent="0.25">
      <c r="G1268" s="2"/>
    </row>
    <row r="1269" spans="7:7" ht="13.2" x14ac:dyDescent="0.25">
      <c r="G1269" s="2"/>
    </row>
    <row r="1270" spans="7:7" ht="13.2" x14ac:dyDescent="0.25">
      <c r="G1270" s="2"/>
    </row>
    <row r="1271" spans="7:7" ht="13.2" x14ac:dyDescent="0.25">
      <c r="G1271" s="2"/>
    </row>
    <row r="1272" spans="7:7" ht="13.2" x14ac:dyDescent="0.25">
      <c r="G1272" s="2"/>
    </row>
    <row r="1273" spans="7:7" ht="13.2" x14ac:dyDescent="0.25">
      <c r="G1273" s="2"/>
    </row>
    <row r="1274" spans="7:7" ht="13.2" x14ac:dyDescent="0.25">
      <c r="G1274" s="2"/>
    </row>
    <row r="1275" spans="7:7" ht="13.2" x14ac:dyDescent="0.25">
      <c r="G1275" s="2"/>
    </row>
    <row r="1276" spans="7:7" ht="13.2" x14ac:dyDescent="0.25">
      <c r="G1276" s="2"/>
    </row>
    <row r="1277" spans="7:7" ht="13.2" x14ac:dyDescent="0.25">
      <c r="G1277" s="2"/>
    </row>
    <row r="1278" spans="7:7" ht="13.2" x14ac:dyDescent="0.25">
      <c r="G1278" s="2"/>
    </row>
    <row r="1279" spans="7:7" ht="13.2" x14ac:dyDescent="0.25">
      <c r="G1279" s="2"/>
    </row>
    <row r="1280" spans="7:7" ht="13.2" x14ac:dyDescent="0.25">
      <c r="G1280" s="2"/>
    </row>
    <row r="1281" spans="7:7" ht="13.2" x14ac:dyDescent="0.25">
      <c r="G1281" s="2"/>
    </row>
    <row r="1282" spans="7:7" ht="13.2" x14ac:dyDescent="0.25">
      <c r="G1282" s="2"/>
    </row>
    <row r="1283" spans="7:7" ht="13.2" x14ac:dyDescent="0.25">
      <c r="G1283" s="2"/>
    </row>
    <row r="1284" spans="7:7" ht="13.2" x14ac:dyDescent="0.25">
      <c r="G1284" s="2"/>
    </row>
    <row r="1285" spans="7:7" ht="13.2" x14ac:dyDescent="0.25">
      <c r="G1285" s="2"/>
    </row>
    <row r="1286" spans="7:7" ht="13.2" x14ac:dyDescent="0.25">
      <c r="G1286" s="2"/>
    </row>
    <row r="1287" spans="7:7" ht="13.2" x14ac:dyDescent="0.25">
      <c r="G1287" s="2"/>
    </row>
    <row r="1288" spans="7:7" ht="13.2" x14ac:dyDescent="0.25">
      <c r="G1288" s="2"/>
    </row>
    <row r="1289" spans="7:7" ht="13.2" x14ac:dyDescent="0.25">
      <c r="G1289" s="2"/>
    </row>
    <row r="1290" spans="7:7" ht="13.2" x14ac:dyDescent="0.25">
      <c r="G1290" s="2"/>
    </row>
    <row r="1291" spans="7:7" ht="13.2" x14ac:dyDescent="0.25">
      <c r="G1291" s="2"/>
    </row>
    <row r="1292" spans="7:7" ht="13.2" x14ac:dyDescent="0.25">
      <c r="G1292" s="2"/>
    </row>
    <row r="1293" spans="7:7" ht="13.2" x14ac:dyDescent="0.25">
      <c r="G1293" s="2"/>
    </row>
    <row r="1294" spans="7:7" ht="13.2" x14ac:dyDescent="0.25">
      <c r="G1294" s="2"/>
    </row>
    <row r="1295" spans="7:7" ht="13.2" x14ac:dyDescent="0.25">
      <c r="G1295" s="2"/>
    </row>
    <row r="1296" spans="7:7" ht="13.2" x14ac:dyDescent="0.25">
      <c r="G1296" s="2"/>
    </row>
    <row r="1297" spans="7:7" ht="13.2" x14ac:dyDescent="0.25">
      <c r="G1297" s="2"/>
    </row>
    <row r="1298" spans="7:7" ht="13.2" x14ac:dyDescent="0.25">
      <c r="G1298" s="2"/>
    </row>
    <row r="1299" spans="7:7" ht="13.2" x14ac:dyDescent="0.25">
      <c r="G1299" s="2"/>
    </row>
    <row r="1300" spans="7:7" ht="13.2" x14ac:dyDescent="0.25">
      <c r="G1300" s="2"/>
    </row>
    <row r="1301" spans="7:7" ht="13.2" x14ac:dyDescent="0.25">
      <c r="G1301" s="2"/>
    </row>
    <row r="1302" spans="7:7" ht="13.2" x14ac:dyDescent="0.25">
      <c r="G1302" s="2"/>
    </row>
    <row r="1303" spans="7:7" ht="13.2" x14ac:dyDescent="0.25">
      <c r="G1303" s="2"/>
    </row>
    <row r="1304" spans="7:7" ht="13.2" x14ac:dyDescent="0.25">
      <c r="G1304" s="2"/>
    </row>
    <row r="1305" spans="7:7" ht="13.2" x14ac:dyDescent="0.25">
      <c r="G1305" s="2"/>
    </row>
    <row r="1306" spans="7:7" ht="13.2" x14ac:dyDescent="0.25">
      <c r="G1306" s="2"/>
    </row>
    <row r="1307" spans="7:7" ht="13.2" x14ac:dyDescent="0.25">
      <c r="G1307" s="2"/>
    </row>
    <row r="1308" spans="7:7" ht="13.2" x14ac:dyDescent="0.25">
      <c r="G1308" s="2"/>
    </row>
    <row r="1309" spans="7:7" ht="13.2" x14ac:dyDescent="0.25">
      <c r="G1309" s="2"/>
    </row>
    <row r="1310" spans="7:7" ht="13.2" x14ac:dyDescent="0.25">
      <c r="G1310" s="2"/>
    </row>
    <row r="1311" spans="7:7" ht="13.2" x14ac:dyDescent="0.25">
      <c r="G1311" s="2"/>
    </row>
    <row r="1312" spans="7:7" ht="13.2" x14ac:dyDescent="0.25">
      <c r="G1312" s="2"/>
    </row>
    <row r="1313" spans="7:7" ht="13.2" x14ac:dyDescent="0.25">
      <c r="G1313" s="2"/>
    </row>
    <row r="1314" spans="7:7" ht="13.2" x14ac:dyDescent="0.25">
      <c r="G1314" s="2"/>
    </row>
    <row r="1315" spans="7:7" ht="13.2" x14ac:dyDescent="0.25">
      <c r="G1315" s="2"/>
    </row>
    <row r="1316" spans="7:7" ht="13.2" x14ac:dyDescent="0.25">
      <c r="G1316" s="2"/>
    </row>
    <row r="1317" spans="7:7" ht="13.2" x14ac:dyDescent="0.25">
      <c r="G1317" s="2"/>
    </row>
    <row r="1318" spans="7:7" ht="13.2" x14ac:dyDescent="0.25">
      <c r="G1318" s="2"/>
    </row>
    <row r="1319" spans="7:7" ht="13.2" x14ac:dyDescent="0.25">
      <c r="G1319" s="2"/>
    </row>
    <row r="1320" spans="7:7" ht="13.2" x14ac:dyDescent="0.25">
      <c r="G1320" s="2"/>
    </row>
    <row r="1321" spans="7:7" ht="13.2" x14ac:dyDescent="0.25">
      <c r="G1321" s="2"/>
    </row>
    <row r="1322" spans="7:7" ht="13.2" x14ac:dyDescent="0.25">
      <c r="G1322" s="2"/>
    </row>
    <row r="1323" spans="7:7" ht="13.2" x14ac:dyDescent="0.25">
      <c r="G1323" s="2"/>
    </row>
    <row r="1324" spans="7:7" ht="13.2" x14ac:dyDescent="0.25">
      <c r="G1324" s="2"/>
    </row>
    <row r="1325" spans="7:7" ht="13.2" x14ac:dyDescent="0.25">
      <c r="G1325" s="2"/>
    </row>
    <row r="1326" spans="7:7" ht="13.2" x14ac:dyDescent="0.25">
      <c r="G1326" s="2"/>
    </row>
    <row r="1327" spans="7:7" ht="13.2" x14ac:dyDescent="0.25">
      <c r="G1327" s="2"/>
    </row>
    <row r="1328" spans="7:7" ht="13.2" x14ac:dyDescent="0.25">
      <c r="G1328" s="2"/>
    </row>
    <row r="1329" spans="7:7" ht="13.2" x14ac:dyDescent="0.25">
      <c r="G1329" s="2"/>
    </row>
    <row r="1330" spans="7:7" ht="13.2" x14ac:dyDescent="0.25">
      <c r="G1330" s="2"/>
    </row>
    <row r="1331" spans="7:7" ht="13.2" x14ac:dyDescent="0.25">
      <c r="G1331" s="2"/>
    </row>
    <row r="1332" spans="7:7" ht="13.2" x14ac:dyDescent="0.25">
      <c r="G1332" s="2"/>
    </row>
    <row r="1333" spans="7:7" ht="13.2" x14ac:dyDescent="0.25">
      <c r="G1333" s="2"/>
    </row>
    <row r="1334" spans="7:7" ht="13.2" x14ac:dyDescent="0.25">
      <c r="G1334" s="2"/>
    </row>
    <row r="1335" spans="7:7" ht="13.2" x14ac:dyDescent="0.25">
      <c r="G1335" s="2"/>
    </row>
    <row r="1336" spans="7:7" ht="13.2" x14ac:dyDescent="0.25">
      <c r="G1336" s="2"/>
    </row>
    <row r="1337" spans="7:7" ht="13.2" x14ac:dyDescent="0.25">
      <c r="G1337" s="2"/>
    </row>
    <row r="1338" spans="7:7" ht="13.2" x14ac:dyDescent="0.25">
      <c r="G1338" s="2"/>
    </row>
    <row r="1339" spans="7:7" ht="13.2" x14ac:dyDescent="0.25">
      <c r="G1339" s="2"/>
    </row>
    <row r="1340" spans="7:7" ht="13.2" x14ac:dyDescent="0.25">
      <c r="G1340" s="2"/>
    </row>
    <row r="1341" spans="7:7" ht="13.2" x14ac:dyDescent="0.25">
      <c r="G1341" s="2"/>
    </row>
    <row r="1342" spans="7:7" ht="13.2" x14ac:dyDescent="0.25">
      <c r="G1342" s="2"/>
    </row>
    <row r="1343" spans="7:7" ht="13.2" x14ac:dyDescent="0.25">
      <c r="G1343" s="2"/>
    </row>
    <row r="1344" spans="7:7" ht="13.2" x14ac:dyDescent="0.25">
      <c r="G1344" s="2"/>
    </row>
    <row r="1345" spans="7:7" ht="13.2" x14ac:dyDescent="0.25">
      <c r="G1345" s="2"/>
    </row>
    <row r="1346" spans="7:7" ht="13.2" x14ac:dyDescent="0.25">
      <c r="G1346" s="2"/>
    </row>
    <row r="1347" spans="7:7" ht="13.2" x14ac:dyDescent="0.25">
      <c r="G1347" s="2"/>
    </row>
    <row r="1348" spans="7:7" ht="13.2" x14ac:dyDescent="0.25">
      <c r="G1348" s="2"/>
    </row>
    <row r="1349" spans="7:7" ht="13.2" x14ac:dyDescent="0.25">
      <c r="G1349" s="2"/>
    </row>
    <row r="1350" spans="7:7" ht="13.2" x14ac:dyDescent="0.25">
      <c r="G1350" s="2"/>
    </row>
    <row r="1351" spans="7:7" ht="13.2" x14ac:dyDescent="0.25">
      <c r="G1351" s="2"/>
    </row>
    <row r="1352" spans="7:7" ht="13.2" x14ac:dyDescent="0.25">
      <c r="G1352" s="2"/>
    </row>
    <row r="1353" spans="7:7" ht="13.2" x14ac:dyDescent="0.25">
      <c r="G1353" s="2"/>
    </row>
    <row r="1354" spans="7:7" ht="13.2" x14ac:dyDescent="0.25">
      <c r="G1354" s="2"/>
    </row>
    <row r="1355" spans="7:7" ht="13.2" x14ac:dyDescent="0.25">
      <c r="G1355" s="2"/>
    </row>
    <row r="1356" spans="7:7" ht="13.2" x14ac:dyDescent="0.25">
      <c r="G1356" s="2"/>
    </row>
    <row r="1357" spans="7:7" ht="13.2" x14ac:dyDescent="0.25">
      <c r="G1357" s="2"/>
    </row>
    <row r="1358" spans="7:7" ht="13.2" x14ac:dyDescent="0.25">
      <c r="G1358" s="2"/>
    </row>
    <row r="1359" spans="7:7" ht="13.2" x14ac:dyDescent="0.25">
      <c r="G1359" s="2"/>
    </row>
    <row r="1360" spans="7:7" ht="13.2" x14ac:dyDescent="0.25">
      <c r="G1360" s="2"/>
    </row>
    <row r="1361" spans="7:7" ht="13.2" x14ac:dyDescent="0.25">
      <c r="G1361" s="2"/>
    </row>
    <row r="1362" spans="7:7" ht="13.2" x14ac:dyDescent="0.25">
      <c r="G1362" s="2"/>
    </row>
    <row r="1363" spans="7:7" ht="13.2" x14ac:dyDescent="0.25">
      <c r="G1363" s="2"/>
    </row>
    <row r="1364" spans="7:7" ht="13.2" x14ac:dyDescent="0.25">
      <c r="G1364" s="2"/>
    </row>
    <row r="1365" spans="7:7" ht="13.2" x14ac:dyDescent="0.25">
      <c r="G1365" s="2"/>
    </row>
    <row r="1366" spans="7:7" ht="13.2" x14ac:dyDescent="0.25">
      <c r="G1366" s="2"/>
    </row>
    <row r="1367" spans="7:7" ht="13.2" x14ac:dyDescent="0.25">
      <c r="G1367" s="2"/>
    </row>
    <row r="1368" spans="7:7" ht="13.2" x14ac:dyDescent="0.25">
      <c r="G1368" s="2"/>
    </row>
    <row r="1369" spans="7:7" ht="13.2" x14ac:dyDescent="0.25">
      <c r="G1369" s="2"/>
    </row>
    <row r="1370" spans="7:7" ht="13.2" x14ac:dyDescent="0.25">
      <c r="G1370" s="2"/>
    </row>
    <row r="1371" spans="7:7" ht="13.2" x14ac:dyDescent="0.25">
      <c r="G1371" s="2"/>
    </row>
    <row r="1372" spans="7:7" ht="13.2" x14ac:dyDescent="0.25">
      <c r="G1372" s="2"/>
    </row>
    <row r="1373" spans="7:7" ht="13.2" x14ac:dyDescent="0.25">
      <c r="G1373" s="2"/>
    </row>
    <row r="1374" spans="7:7" ht="13.2" x14ac:dyDescent="0.25">
      <c r="G1374" s="2"/>
    </row>
    <row r="1375" spans="7:7" ht="13.2" x14ac:dyDescent="0.25">
      <c r="G1375" s="2"/>
    </row>
    <row r="1376" spans="7:7" ht="13.2" x14ac:dyDescent="0.25">
      <c r="G1376" s="2"/>
    </row>
    <row r="1377" spans="7:7" ht="13.2" x14ac:dyDescent="0.25">
      <c r="G1377" s="2"/>
    </row>
    <row r="1378" spans="7:7" ht="13.2" x14ac:dyDescent="0.25">
      <c r="G1378" s="2"/>
    </row>
    <row r="1379" spans="7:7" ht="13.2" x14ac:dyDescent="0.25">
      <c r="G1379" s="2"/>
    </row>
    <row r="1380" spans="7:7" ht="13.2" x14ac:dyDescent="0.25">
      <c r="G1380" s="2"/>
    </row>
    <row r="1381" spans="7:7" ht="13.2" x14ac:dyDescent="0.25">
      <c r="G1381" s="2"/>
    </row>
    <row r="1382" spans="7:7" ht="13.2" x14ac:dyDescent="0.25">
      <c r="G1382" s="2"/>
    </row>
    <row r="1383" spans="7:7" ht="13.2" x14ac:dyDescent="0.25">
      <c r="G1383" s="2"/>
    </row>
    <row r="1384" spans="7:7" ht="13.2" x14ac:dyDescent="0.25">
      <c r="G1384" s="2"/>
    </row>
    <row r="1385" spans="7:7" ht="13.2" x14ac:dyDescent="0.25">
      <c r="G1385" s="2"/>
    </row>
    <row r="1386" spans="7:7" ht="13.2" x14ac:dyDescent="0.25">
      <c r="G1386" s="2"/>
    </row>
    <row r="1387" spans="7:7" ht="13.2" x14ac:dyDescent="0.25">
      <c r="G1387" s="2"/>
    </row>
    <row r="1388" spans="7:7" ht="13.2" x14ac:dyDescent="0.25">
      <c r="G1388" s="2"/>
    </row>
    <row r="1389" spans="7:7" ht="13.2" x14ac:dyDescent="0.25">
      <c r="G1389" s="2"/>
    </row>
    <row r="1390" spans="7:7" ht="13.2" x14ac:dyDescent="0.25">
      <c r="G1390" s="2"/>
    </row>
    <row r="1391" spans="7:7" ht="13.2" x14ac:dyDescent="0.25">
      <c r="G1391" s="2"/>
    </row>
    <row r="1392" spans="7:7" ht="13.2" x14ac:dyDescent="0.25">
      <c r="G1392" s="2"/>
    </row>
    <row r="1393" spans="7:7" ht="13.2" x14ac:dyDescent="0.25">
      <c r="G1393" s="2"/>
    </row>
    <row r="1394" spans="7:7" ht="13.2" x14ac:dyDescent="0.25">
      <c r="G1394" s="2"/>
    </row>
    <row r="1395" spans="7:7" ht="13.2" x14ac:dyDescent="0.25">
      <c r="G1395" s="2"/>
    </row>
    <row r="1396" spans="7:7" ht="13.2" x14ac:dyDescent="0.25">
      <c r="G1396" s="2"/>
    </row>
    <row r="1397" spans="7:7" ht="13.2" x14ac:dyDescent="0.25">
      <c r="G1397" s="2"/>
    </row>
    <row r="1398" spans="7:7" ht="13.2" x14ac:dyDescent="0.25">
      <c r="G1398" s="2"/>
    </row>
    <row r="1399" spans="7:7" ht="13.2" x14ac:dyDescent="0.25">
      <c r="G1399" s="2"/>
    </row>
    <row r="1400" spans="7:7" ht="13.2" x14ac:dyDescent="0.25">
      <c r="G1400" s="2"/>
    </row>
    <row r="1401" spans="7:7" ht="13.2" x14ac:dyDescent="0.25">
      <c r="G1401" s="2"/>
    </row>
    <row r="1402" spans="7:7" ht="13.2" x14ac:dyDescent="0.25">
      <c r="G1402" s="2"/>
    </row>
    <row r="1403" spans="7:7" ht="13.2" x14ac:dyDescent="0.25">
      <c r="G1403" s="2"/>
    </row>
    <row r="1404" spans="7:7" ht="13.2" x14ac:dyDescent="0.25">
      <c r="G1404" s="2"/>
    </row>
    <row r="1405" spans="7:7" ht="13.2" x14ac:dyDescent="0.25">
      <c r="G1405" s="2"/>
    </row>
    <row r="1406" spans="7:7" ht="13.2" x14ac:dyDescent="0.25">
      <c r="G1406" s="2"/>
    </row>
    <row r="1407" spans="7:7" ht="13.2" x14ac:dyDescent="0.25">
      <c r="G1407" s="2"/>
    </row>
    <row r="1408" spans="7:7" ht="13.2" x14ac:dyDescent="0.25">
      <c r="G1408" s="2"/>
    </row>
    <row r="1409" spans="7:7" ht="13.2" x14ac:dyDescent="0.25">
      <c r="G1409" s="2"/>
    </row>
    <row r="1410" spans="7:7" ht="13.2" x14ac:dyDescent="0.25">
      <c r="G1410" s="2"/>
    </row>
    <row r="1411" spans="7:7" ht="13.2" x14ac:dyDescent="0.25">
      <c r="G1411" s="2"/>
    </row>
    <row r="1412" spans="7:7" ht="13.2" x14ac:dyDescent="0.25">
      <c r="G1412" s="2"/>
    </row>
    <row r="1413" spans="7:7" ht="13.2" x14ac:dyDescent="0.25">
      <c r="G1413" s="2"/>
    </row>
    <row r="1414" spans="7:7" ht="13.2" x14ac:dyDescent="0.25">
      <c r="G1414" s="2"/>
    </row>
    <row r="1415" spans="7:7" ht="13.2" x14ac:dyDescent="0.25">
      <c r="G1415" s="2"/>
    </row>
    <row r="1416" spans="7:7" ht="13.2" x14ac:dyDescent="0.25">
      <c r="G1416" s="2"/>
    </row>
    <row r="1417" spans="7:7" ht="13.2" x14ac:dyDescent="0.25">
      <c r="G1417" s="2"/>
    </row>
    <row r="1418" spans="7:7" ht="13.2" x14ac:dyDescent="0.25">
      <c r="G1418" s="2"/>
    </row>
    <row r="1419" spans="7:7" ht="13.2" x14ac:dyDescent="0.25">
      <c r="G1419" s="2"/>
    </row>
    <row r="1420" spans="7:7" ht="13.2" x14ac:dyDescent="0.25">
      <c r="G1420" s="2"/>
    </row>
    <row r="1421" spans="7:7" ht="13.2" x14ac:dyDescent="0.25">
      <c r="G1421" s="2"/>
    </row>
    <row r="1422" spans="7:7" ht="13.2" x14ac:dyDescent="0.25">
      <c r="G1422" s="2"/>
    </row>
    <row r="1423" spans="7:7" ht="13.2" x14ac:dyDescent="0.25">
      <c r="G1423" s="2"/>
    </row>
    <row r="1424" spans="7:7" ht="13.2" x14ac:dyDescent="0.25">
      <c r="G1424" s="2"/>
    </row>
    <row r="1425" spans="7:7" ht="13.2" x14ac:dyDescent="0.25">
      <c r="G1425" s="2"/>
    </row>
    <row r="1426" spans="7:7" ht="13.2" x14ac:dyDescent="0.25">
      <c r="G1426" s="2"/>
    </row>
    <row r="1427" spans="7:7" ht="13.2" x14ac:dyDescent="0.25">
      <c r="G1427" s="2"/>
    </row>
    <row r="1428" spans="7:7" ht="13.2" x14ac:dyDescent="0.25">
      <c r="G1428" s="2"/>
    </row>
    <row r="1429" spans="7:7" ht="13.2" x14ac:dyDescent="0.25">
      <c r="G1429" s="2"/>
    </row>
    <row r="1430" spans="7:7" ht="13.2" x14ac:dyDescent="0.25">
      <c r="G1430" s="2"/>
    </row>
    <row r="1431" spans="7:7" ht="13.2" x14ac:dyDescent="0.25">
      <c r="G1431" s="2"/>
    </row>
    <row r="1432" spans="7:7" ht="13.2" x14ac:dyDescent="0.25">
      <c r="G1432" s="2"/>
    </row>
    <row r="1433" spans="7:7" ht="13.2" x14ac:dyDescent="0.25">
      <c r="G1433" s="2"/>
    </row>
    <row r="1434" spans="7:7" ht="13.2" x14ac:dyDescent="0.25">
      <c r="G1434" s="2"/>
    </row>
    <row r="1435" spans="7:7" ht="13.2" x14ac:dyDescent="0.25">
      <c r="G1435" s="2"/>
    </row>
  </sheetData>
  <mergeCells count="6">
    <mergeCell ref="A7:A8"/>
    <mergeCell ref="B7:B8"/>
    <mergeCell ref="C7:F7"/>
    <mergeCell ref="G7:G8"/>
    <mergeCell ref="C1:W3"/>
    <mergeCell ref="C4:W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2024-04-12T07:46:56Z</dcterms:modified>
</cp:coreProperties>
</file>