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369733-0E06-4585-9F92-06CFBE8B34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ly" sheetId="1" r:id="rId1"/>
    <sheet name="Month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9" i="2" l="1"/>
  <c r="E519" i="2"/>
  <c r="D519" i="2"/>
  <c r="C519" i="2"/>
  <c r="F518" i="2"/>
  <c r="E518" i="2"/>
  <c r="D518" i="2"/>
  <c r="C518" i="2"/>
  <c r="J517" i="2"/>
  <c r="F517" i="2"/>
  <c r="E517" i="2"/>
  <c r="D517" i="2"/>
  <c r="C517" i="2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E507" i="2"/>
  <c r="D507" i="2"/>
  <c r="C507" i="2"/>
  <c r="F506" i="2"/>
  <c r="E506" i="2"/>
  <c r="D506" i="2"/>
  <c r="C506" i="2"/>
  <c r="F505" i="2"/>
  <c r="E505" i="2"/>
  <c r="D505" i="2"/>
  <c r="C505" i="2"/>
  <c r="J504" i="2"/>
  <c r="F504" i="2"/>
  <c r="E504" i="2"/>
  <c r="D504" i="2"/>
  <c r="C504" i="2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E495" i="2"/>
  <c r="D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J491" i="2"/>
  <c r="F491" i="2"/>
  <c r="E491" i="2"/>
  <c r="D491" i="2"/>
  <c r="C491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E483" i="2"/>
  <c r="D483" i="2"/>
  <c r="C483" i="2"/>
  <c r="F482" i="2"/>
  <c r="E482" i="2"/>
  <c r="D482" i="2"/>
  <c r="C482" i="2"/>
  <c r="F481" i="2"/>
  <c r="E481" i="2"/>
  <c r="D481" i="2"/>
  <c r="C481" i="2"/>
  <c r="F480" i="2"/>
  <c r="E480" i="2"/>
  <c r="D480" i="2"/>
  <c r="C480" i="2"/>
  <c r="F479" i="2"/>
  <c r="E479" i="2"/>
  <c r="D479" i="2"/>
  <c r="C479" i="2"/>
  <c r="K51" i="1" s="1"/>
  <c r="F478" i="2"/>
  <c r="E478" i="2"/>
  <c r="D478" i="2"/>
  <c r="C478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E466" i="2"/>
  <c r="D466" i="2"/>
  <c r="C466" i="2"/>
  <c r="C44" i="1" s="1"/>
  <c r="F465" i="2"/>
  <c r="E465" i="2"/>
  <c r="D465" i="2"/>
  <c r="C465" i="2"/>
  <c r="F463" i="2"/>
  <c r="E463" i="2"/>
  <c r="D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0" i="2"/>
  <c r="E450" i="2"/>
  <c r="D450" i="2"/>
  <c r="C450" i="2"/>
  <c r="F449" i="2"/>
  <c r="E449" i="2"/>
  <c r="D449" i="2"/>
  <c r="C449" i="2"/>
  <c r="F448" i="2"/>
  <c r="E448" i="2"/>
  <c r="D448" i="2"/>
  <c r="C448" i="2"/>
  <c r="F447" i="2"/>
  <c r="E447" i="2"/>
  <c r="D447" i="2"/>
  <c r="C447" i="2"/>
  <c r="F446" i="2"/>
  <c r="E446" i="2"/>
  <c r="D446" i="2"/>
  <c r="C446" i="2"/>
  <c r="F445" i="2"/>
  <c r="E445" i="2"/>
  <c r="D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C42" i="1" s="1"/>
  <c r="F439" i="2"/>
  <c r="E439" i="2"/>
  <c r="D439" i="2"/>
  <c r="C439" i="2"/>
  <c r="F437" i="2"/>
  <c r="E437" i="2"/>
  <c r="D437" i="2"/>
  <c r="C437" i="2"/>
  <c r="F436" i="2"/>
  <c r="E436" i="2"/>
  <c r="D436" i="2"/>
  <c r="C436" i="2"/>
  <c r="F435" i="2"/>
  <c r="E435" i="2"/>
  <c r="D435" i="2"/>
  <c r="C435" i="2"/>
  <c r="F434" i="2"/>
  <c r="E434" i="2"/>
  <c r="D434" i="2"/>
  <c r="C434" i="2"/>
  <c r="F433" i="2"/>
  <c r="E433" i="2"/>
  <c r="D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E427" i="2"/>
  <c r="D427" i="2"/>
  <c r="C427" i="2"/>
  <c r="C41" i="1" s="1"/>
  <c r="F426" i="2"/>
  <c r="E426" i="2"/>
  <c r="D426" i="2"/>
  <c r="C426" i="2"/>
  <c r="F424" i="2"/>
  <c r="E424" i="2"/>
  <c r="D424" i="2"/>
  <c r="C424" i="2"/>
  <c r="F423" i="2"/>
  <c r="E423" i="2"/>
  <c r="D423" i="2"/>
  <c r="C423" i="2"/>
  <c r="F422" i="2"/>
  <c r="E422" i="2"/>
  <c r="D422" i="2"/>
  <c r="C422" i="2"/>
  <c r="F421" i="2"/>
  <c r="E421" i="2"/>
  <c r="D421" i="2"/>
  <c r="C421" i="2"/>
  <c r="F420" i="2"/>
  <c r="E420" i="2"/>
  <c r="D420" i="2"/>
  <c r="C420" i="2"/>
  <c r="F419" i="2"/>
  <c r="E419" i="2"/>
  <c r="D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E414" i="2"/>
  <c r="D414" i="2"/>
  <c r="C414" i="2"/>
  <c r="F413" i="2"/>
  <c r="E413" i="2"/>
  <c r="D413" i="2"/>
  <c r="C413" i="2"/>
  <c r="F411" i="2"/>
  <c r="E411" i="2"/>
  <c r="D411" i="2"/>
  <c r="C411" i="2"/>
  <c r="F410" i="2"/>
  <c r="E410" i="2"/>
  <c r="D410" i="2"/>
  <c r="C410" i="2"/>
  <c r="F409" i="2"/>
  <c r="E409" i="2"/>
  <c r="D409" i="2"/>
  <c r="C409" i="2"/>
  <c r="F408" i="2"/>
  <c r="E408" i="2"/>
  <c r="D408" i="2"/>
  <c r="C408" i="2"/>
  <c r="F407" i="2"/>
  <c r="E407" i="2"/>
  <c r="D407" i="2"/>
  <c r="C407" i="2"/>
  <c r="F406" i="2"/>
  <c r="E406" i="2"/>
  <c r="D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D401" i="2"/>
  <c r="C401" i="2"/>
  <c r="C39" i="1" s="1"/>
  <c r="F400" i="2"/>
  <c r="E400" i="2"/>
  <c r="D400" i="2"/>
  <c r="C400" i="2"/>
  <c r="F398" i="2"/>
  <c r="E398" i="2"/>
  <c r="D398" i="2"/>
  <c r="C398" i="2"/>
  <c r="F397" i="2"/>
  <c r="E397" i="2"/>
  <c r="D397" i="2"/>
  <c r="C397" i="2"/>
  <c r="F396" i="2"/>
  <c r="E396" i="2"/>
  <c r="D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E392" i="2"/>
  <c r="D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C38" i="1" s="1"/>
  <c r="F387" i="2"/>
  <c r="E387" i="2"/>
  <c r="D387" i="2"/>
  <c r="C387" i="2"/>
  <c r="F385" i="2"/>
  <c r="E385" i="2"/>
  <c r="D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E380" i="2"/>
  <c r="D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E369" i="2"/>
  <c r="D369" i="2"/>
  <c r="C369" i="2"/>
  <c r="F368" i="2"/>
  <c r="E368" i="2"/>
  <c r="D368" i="2"/>
  <c r="C368" i="2"/>
  <c r="F367" i="2"/>
  <c r="E367" i="2"/>
  <c r="D367" i="2"/>
  <c r="C367" i="2"/>
  <c r="F366" i="2"/>
  <c r="E366" i="2"/>
  <c r="D366" i="2"/>
  <c r="C366" i="2"/>
  <c r="F365" i="2"/>
  <c r="E365" i="2"/>
  <c r="D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C36" i="1" s="1"/>
  <c r="F361" i="2"/>
  <c r="E361" i="2"/>
  <c r="D361" i="2"/>
  <c r="C361" i="2"/>
  <c r="F359" i="2"/>
  <c r="E359" i="2"/>
  <c r="D359" i="2"/>
  <c r="C359" i="2"/>
  <c r="F358" i="2"/>
  <c r="E358" i="2"/>
  <c r="D358" i="2"/>
  <c r="C358" i="2"/>
  <c r="F357" i="2"/>
  <c r="E357" i="2"/>
  <c r="D357" i="2"/>
  <c r="C357" i="2"/>
  <c r="F356" i="2"/>
  <c r="E356" i="2"/>
  <c r="D356" i="2"/>
  <c r="C356" i="2"/>
  <c r="F355" i="2"/>
  <c r="E355" i="2"/>
  <c r="D355" i="2"/>
  <c r="C355" i="2"/>
  <c r="F354" i="2"/>
  <c r="E354" i="2"/>
  <c r="D354" i="2"/>
  <c r="C354" i="2"/>
  <c r="F353" i="2"/>
  <c r="E353" i="2"/>
  <c r="D353" i="2"/>
  <c r="C353" i="2"/>
  <c r="F352" i="2"/>
  <c r="E352" i="2"/>
  <c r="D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C35" i="1" s="1"/>
  <c r="F348" i="2"/>
  <c r="E348" i="2"/>
  <c r="D348" i="2"/>
  <c r="C348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E342" i="2"/>
  <c r="D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E338" i="2"/>
  <c r="D338" i="2"/>
  <c r="C338" i="2"/>
  <c r="F337" i="2"/>
  <c r="E337" i="2"/>
  <c r="D337" i="2"/>
  <c r="C337" i="2"/>
  <c r="F336" i="2"/>
  <c r="E336" i="2"/>
  <c r="D336" i="2"/>
  <c r="C336" i="2"/>
  <c r="C34" i="1" s="1"/>
  <c r="F335" i="2"/>
  <c r="E335" i="2"/>
  <c r="D335" i="2"/>
  <c r="C335" i="2"/>
  <c r="F333" i="2"/>
  <c r="E333" i="2"/>
  <c r="D333" i="2"/>
  <c r="C333" i="2"/>
  <c r="F332" i="2"/>
  <c r="E332" i="2"/>
  <c r="D332" i="2"/>
  <c r="C332" i="2"/>
  <c r="F331" i="2"/>
  <c r="E331" i="2"/>
  <c r="D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C33" i="1" s="1"/>
  <c r="F322" i="2"/>
  <c r="E322" i="2"/>
  <c r="D322" i="2"/>
  <c r="C322" i="2"/>
  <c r="F320" i="2"/>
  <c r="E320" i="2"/>
  <c r="D320" i="2"/>
  <c r="C320" i="2"/>
  <c r="F319" i="2"/>
  <c r="E319" i="2"/>
  <c r="D319" i="2"/>
  <c r="C319" i="2"/>
  <c r="F318" i="2"/>
  <c r="E318" i="2"/>
  <c r="D318" i="2"/>
  <c r="C318" i="2"/>
  <c r="F317" i="2"/>
  <c r="E317" i="2"/>
  <c r="D317" i="2"/>
  <c r="C317" i="2"/>
  <c r="F316" i="2"/>
  <c r="E316" i="2"/>
  <c r="D316" i="2"/>
  <c r="C316" i="2"/>
  <c r="F315" i="2"/>
  <c r="E315" i="2"/>
  <c r="D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E311" i="2"/>
  <c r="D311" i="2"/>
  <c r="C311" i="2"/>
  <c r="F310" i="2"/>
  <c r="E310" i="2"/>
  <c r="D310" i="2"/>
  <c r="C310" i="2"/>
  <c r="C32" i="1" s="1"/>
  <c r="F309" i="2"/>
  <c r="E309" i="2"/>
  <c r="D309" i="2"/>
  <c r="C309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E304" i="2"/>
  <c r="D304" i="2"/>
  <c r="C304" i="2"/>
  <c r="F303" i="2"/>
  <c r="E303" i="2"/>
  <c r="D303" i="2"/>
  <c r="C303" i="2"/>
  <c r="F302" i="2"/>
  <c r="E302" i="2"/>
  <c r="D302" i="2"/>
  <c r="C302" i="2"/>
  <c r="F301" i="2"/>
  <c r="E301" i="2"/>
  <c r="D301" i="2"/>
  <c r="C301" i="2"/>
  <c r="F300" i="2"/>
  <c r="E300" i="2"/>
  <c r="D300" i="2"/>
  <c r="C300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C31" i="1" s="1"/>
  <c r="F296" i="2"/>
  <c r="E296" i="2"/>
  <c r="D296" i="2"/>
  <c r="C296" i="2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E291" i="2"/>
  <c r="D291" i="2"/>
  <c r="C291" i="2"/>
  <c r="F290" i="2"/>
  <c r="E290" i="2"/>
  <c r="D290" i="2"/>
  <c r="C290" i="2"/>
  <c r="F289" i="2"/>
  <c r="E289" i="2"/>
  <c r="D289" i="2"/>
  <c r="C289" i="2"/>
  <c r="F288" i="2"/>
  <c r="E288" i="2"/>
  <c r="D288" i="2"/>
  <c r="C288" i="2"/>
  <c r="F287" i="2"/>
  <c r="E287" i="2"/>
  <c r="D287" i="2"/>
  <c r="C287" i="2"/>
  <c r="F286" i="2"/>
  <c r="E286" i="2"/>
  <c r="D286" i="2"/>
  <c r="C286" i="2"/>
  <c r="F285" i="2"/>
  <c r="E285" i="2"/>
  <c r="D285" i="2"/>
  <c r="C285" i="2"/>
  <c r="F284" i="2"/>
  <c r="E284" i="2"/>
  <c r="D284" i="2"/>
  <c r="C284" i="2"/>
  <c r="C30" i="1" s="1"/>
  <c r="F283" i="2"/>
  <c r="E283" i="2"/>
  <c r="D283" i="2"/>
  <c r="C283" i="2"/>
  <c r="F281" i="2"/>
  <c r="E281" i="2"/>
  <c r="D281" i="2"/>
  <c r="C281" i="2"/>
  <c r="F280" i="2"/>
  <c r="E280" i="2"/>
  <c r="D280" i="2"/>
  <c r="C280" i="2"/>
  <c r="F279" i="2"/>
  <c r="E279" i="2"/>
  <c r="D279" i="2"/>
  <c r="C279" i="2"/>
  <c r="F278" i="2"/>
  <c r="E278" i="2"/>
  <c r="D278" i="2"/>
  <c r="C278" i="2"/>
  <c r="F277" i="2"/>
  <c r="E277" i="2"/>
  <c r="D277" i="2"/>
  <c r="C277" i="2"/>
  <c r="F276" i="2"/>
  <c r="E276" i="2"/>
  <c r="D276" i="2"/>
  <c r="C276" i="2"/>
  <c r="F275" i="2"/>
  <c r="E275" i="2"/>
  <c r="D275" i="2"/>
  <c r="C275" i="2"/>
  <c r="F274" i="2"/>
  <c r="E274" i="2"/>
  <c r="D274" i="2"/>
  <c r="C274" i="2"/>
  <c r="F273" i="2"/>
  <c r="E273" i="2"/>
  <c r="D273" i="2"/>
  <c r="C273" i="2"/>
  <c r="F272" i="2"/>
  <c r="E272" i="2"/>
  <c r="D272" i="2"/>
  <c r="C272" i="2"/>
  <c r="F271" i="2"/>
  <c r="E271" i="2"/>
  <c r="D271" i="2"/>
  <c r="C271" i="2"/>
  <c r="F270" i="2"/>
  <c r="E270" i="2"/>
  <c r="D270" i="2"/>
  <c r="C270" i="2"/>
  <c r="F268" i="2"/>
  <c r="E268" i="2"/>
  <c r="D268" i="2"/>
  <c r="C268" i="2"/>
  <c r="F267" i="2"/>
  <c r="E267" i="2"/>
  <c r="D267" i="2"/>
  <c r="C267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F260" i="2"/>
  <c r="E260" i="2"/>
  <c r="D260" i="2"/>
  <c r="C260" i="2"/>
  <c r="F259" i="2"/>
  <c r="E259" i="2"/>
  <c r="D259" i="2"/>
  <c r="C259" i="2"/>
  <c r="F258" i="2"/>
  <c r="E258" i="2"/>
  <c r="D258" i="2"/>
  <c r="C258" i="2"/>
  <c r="C28" i="1" s="1"/>
  <c r="F257" i="2"/>
  <c r="E257" i="2"/>
  <c r="D257" i="2"/>
  <c r="C257" i="2"/>
  <c r="F255" i="2"/>
  <c r="E255" i="2"/>
  <c r="D255" i="2"/>
  <c r="C255" i="2"/>
  <c r="F254" i="2"/>
  <c r="E254" i="2"/>
  <c r="D254" i="2"/>
  <c r="C254" i="2"/>
  <c r="F253" i="2"/>
  <c r="E253" i="2"/>
  <c r="D253" i="2"/>
  <c r="C253" i="2"/>
  <c r="F252" i="2"/>
  <c r="E252" i="2"/>
  <c r="D252" i="2"/>
  <c r="C252" i="2"/>
  <c r="F251" i="2"/>
  <c r="E251" i="2"/>
  <c r="D251" i="2"/>
  <c r="C251" i="2"/>
  <c r="F250" i="2"/>
  <c r="E250" i="2"/>
  <c r="D250" i="2"/>
  <c r="C250" i="2"/>
  <c r="F249" i="2"/>
  <c r="E249" i="2"/>
  <c r="D249" i="2"/>
  <c r="C249" i="2"/>
  <c r="F248" i="2"/>
  <c r="E248" i="2"/>
  <c r="D248" i="2"/>
  <c r="C248" i="2"/>
  <c r="F247" i="2"/>
  <c r="E247" i="2"/>
  <c r="D247" i="2"/>
  <c r="C247" i="2"/>
  <c r="F246" i="2"/>
  <c r="E246" i="2"/>
  <c r="D246" i="2"/>
  <c r="C246" i="2"/>
  <c r="F245" i="2"/>
  <c r="E245" i="2"/>
  <c r="D245" i="2"/>
  <c r="C245" i="2"/>
  <c r="F244" i="2"/>
  <c r="E244" i="2"/>
  <c r="D244" i="2"/>
  <c r="C244" i="2"/>
  <c r="F242" i="2"/>
  <c r="E242" i="2"/>
  <c r="D242" i="2"/>
  <c r="C242" i="2"/>
  <c r="F241" i="2"/>
  <c r="E241" i="2"/>
  <c r="D241" i="2"/>
  <c r="C241" i="2"/>
  <c r="F240" i="2"/>
  <c r="E240" i="2"/>
  <c r="D240" i="2"/>
  <c r="C240" i="2"/>
  <c r="F239" i="2"/>
  <c r="E239" i="2"/>
  <c r="D239" i="2"/>
  <c r="C239" i="2"/>
  <c r="F238" i="2"/>
  <c r="E238" i="2"/>
  <c r="D238" i="2"/>
  <c r="C238" i="2"/>
  <c r="F237" i="2"/>
  <c r="E237" i="2"/>
  <c r="D237" i="2"/>
  <c r="C237" i="2"/>
  <c r="F236" i="2"/>
  <c r="E236" i="2"/>
  <c r="D236" i="2"/>
  <c r="C236" i="2"/>
  <c r="F235" i="2"/>
  <c r="E235" i="2"/>
  <c r="D235" i="2"/>
  <c r="C235" i="2"/>
  <c r="F234" i="2"/>
  <c r="E234" i="2"/>
  <c r="D234" i="2"/>
  <c r="C234" i="2"/>
  <c r="F233" i="2"/>
  <c r="E233" i="2"/>
  <c r="D233" i="2"/>
  <c r="C233" i="2"/>
  <c r="F232" i="2"/>
  <c r="E232" i="2"/>
  <c r="D232" i="2"/>
  <c r="C232" i="2"/>
  <c r="C26" i="1" s="1"/>
  <c r="F231" i="2"/>
  <c r="E231" i="2"/>
  <c r="D231" i="2"/>
  <c r="C231" i="2"/>
  <c r="F229" i="2"/>
  <c r="E229" i="2"/>
  <c r="D229" i="2"/>
  <c r="C229" i="2"/>
  <c r="F228" i="2"/>
  <c r="E228" i="2"/>
  <c r="D228" i="2"/>
  <c r="C228" i="2"/>
  <c r="F227" i="2"/>
  <c r="E227" i="2"/>
  <c r="D227" i="2"/>
  <c r="C227" i="2"/>
  <c r="F226" i="2"/>
  <c r="E226" i="2"/>
  <c r="D226" i="2"/>
  <c r="C226" i="2"/>
  <c r="F225" i="2"/>
  <c r="E225" i="2"/>
  <c r="D225" i="2"/>
  <c r="C225" i="2"/>
  <c r="F224" i="2"/>
  <c r="E224" i="2"/>
  <c r="D224" i="2"/>
  <c r="C224" i="2"/>
  <c r="F223" i="2"/>
  <c r="E223" i="2"/>
  <c r="D223" i="2"/>
  <c r="C223" i="2"/>
  <c r="F222" i="2"/>
  <c r="E222" i="2"/>
  <c r="D222" i="2"/>
  <c r="C222" i="2"/>
  <c r="F221" i="2"/>
  <c r="E221" i="2"/>
  <c r="D221" i="2"/>
  <c r="C221" i="2"/>
  <c r="F220" i="2"/>
  <c r="E220" i="2"/>
  <c r="D220" i="2"/>
  <c r="C220" i="2"/>
  <c r="F219" i="2"/>
  <c r="E219" i="2"/>
  <c r="D219" i="2"/>
  <c r="C219" i="2"/>
  <c r="C25" i="1" s="1"/>
  <c r="F218" i="2"/>
  <c r="E218" i="2"/>
  <c r="D218" i="2"/>
  <c r="C218" i="2"/>
  <c r="F216" i="2"/>
  <c r="E216" i="2"/>
  <c r="D216" i="2"/>
  <c r="C216" i="2"/>
  <c r="F215" i="2"/>
  <c r="E215" i="2"/>
  <c r="D215" i="2"/>
  <c r="C215" i="2"/>
  <c r="F214" i="2"/>
  <c r="E214" i="2"/>
  <c r="D214" i="2"/>
  <c r="C214" i="2"/>
  <c r="F213" i="2"/>
  <c r="E213" i="2"/>
  <c r="D213" i="2"/>
  <c r="C213" i="2"/>
  <c r="F212" i="2"/>
  <c r="E212" i="2"/>
  <c r="D212" i="2"/>
  <c r="C212" i="2"/>
  <c r="F211" i="2"/>
  <c r="E211" i="2"/>
  <c r="D211" i="2"/>
  <c r="C211" i="2"/>
  <c r="F210" i="2"/>
  <c r="E210" i="2"/>
  <c r="D210" i="2"/>
  <c r="C210" i="2"/>
  <c r="F209" i="2"/>
  <c r="E209" i="2"/>
  <c r="D209" i="2"/>
  <c r="C209" i="2"/>
  <c r="F208" i="2"/>
  <c r="E208" i="2"/>
  <c r="D208" i="2"/>
  <c r="C208" i="2"/>
  <c r="F207" i="2"/>
  <c r="E207" i="2"/>
  <c r="D207" i="2"/>
  <c r="C207" i="2"/>
  <c r="F206" i="2"/>
  <c r="E206" i="2"/>
  <c r="D206" i="2"/>
  <c r="C206" i="2"/>
  <c r="F205" i="2"/>
  <c r="E205" i="2"/>
  <c r="D205" i="2"/>
  <c r="C205" i="2"/>
  <c r="F203" i="2"/>
  <c r="E203" i="2"/>
  <c r="D203" i="2"/>
  <c r="C203" i="2"/>
  <c r="F202" i="2"/>
  <c r="E202" i="2"/>
  <c r="D202" i="2"/>
  <c r="C202" i="2"/>
  <c r="F201" i="2"/>
  <c r="E201" i="2"/>
  <c r="D201" i="2"/>
  <c r="C201" i="2"/>
  <c r="F200" i="2"/>
  <c r="E200" i="2"/>
  <c r="D200" i="2"/>
  <c r="C200" i="2"/>
  <c r="F199" i="2"/>
  <c r="E199" i="2"/>
  <c r="D199" i="2"/>
  <c r="C199" i="2"/>
  <c r="F198" i="2"/>
  <c r="E198" i="2"/>
  <c r="D198" i="2"/>
  <c r="C198" i="2"/>
  <c r="F197" i="2"/>
  <c r="E197" i="2"/>
  <c r="D197" i="2"/>
  <c r="C197" i="2"/>
  <c r="F196" i="2"/>
  <c r="E196" i="2"/>
  <c r="D196" i="2"/>
  <c r="C196" i="2"/>
  <c r="F195" i="2"/>
  <c r="E195" i="2"/>
  <c r="D195" i="2"/>
  <c r="C195" i="2"/>
  <c r="F194" i="2"/>
  <c r="E194" i="2"/>
  <c r="D194" i="2"/>
  <c r="C194" i="2"/>
  <c r="F193" i="2"/>
  <c r="E193" i="2"/>
  <c r="D193" i="2"/>
  <c r="C193" i="2"/>
  <c r="C23" i="1" s="1"/>
  <c r="F192" i="2"/>
  <c r="E192" i="2"/>
  <c r="D192" i="2"/>
  <c r="C192" i="2"/>
  <c r="F190" i="2"/>
  <c r="E190" i="2"/>
  <c r="D190" i="2"/>
  <c r="C190" i="2"/>
  <c r="F189" i="2"/>
  <c r="E189" i="2"/>
  <c r="D189" i="2"/>
  <c r="C189" i="2"/>
  <c r="F188" i="2"/>
  <c r="E188" i="2"/>
  <c r="D188" i="2"/>
  <c r="C188" i="2"/>
  <c r="F187" i="2"/>
  <c r="E187" i="2"/>
  <c r="D187" i="2"/>
  <c r="C187" i="2"/>
  <c r="F186" i="2"/>
  <c r="E186" i="2"/>
  <c r="D186" i="2"/>
  <c r="C186" i="2"/>
  <c r="F185" i="2"/>
  <c r="E185" i="2"/>
  <c r="D185" i="2"/>
  <c r="C185" i="2"/>
  <c r="F184" i="2"/>
  <c r="E184" i="2"/>
  <c r="D184" i="2"/>
  <c r="C184" i="2"/>
  <c r="F183" i="2"/>
  <c r="E183" i="2"/>
  <c r="D183" i="2"/>
  <c r="C183" i="2"/>
  <c r="F182" i="2"/>
  <c r="E182" i="2"/>
  <c r="D182" i="2"/>
  <c r="C182" i="2"/>
  <c r="F181" i="2"/>
  <c r="E181" i="2"/>
  <c r="D181" i="2"/>
  <c r="C181" i="2"/>
  <c r="F180" i="2"/>
  <c r="E180" i="2"/>
  <c r="D180" i="2"/>
  <c r="C180" i="2"/>
  <c r="C22" i="1" s="1"/>
  <c r="F179" i="2"/>
  <c r="E179" i="2"/>
  <c r="D179" i="2"/>
  <c r="C179" i="2"/>
  <c r="F177" i="2"/>
  <c r="E177" i="2"/>
  <c r="D177" i="2"/>
  <c r="C177" i="2"/>
  <c r="F176" i="2"/>
  <c r="E176" i="2"/>
  <c r="D176" i="2"/>
  <c r="C176" i="2"/>
  <c r="F175" i="2"/>
  <c r="E175" i="2"/>
  <c r="D175" i="2"/>
  <c r="C175" i="2"/>
  <c r="F174" i="2"/>
  <c r="E174" i="2"/>
  <c r="D174" i="2"/>
  <c r="C174" i="2"/>
  <c r="F173" i="2"/>
  <c r="E173" i="2"/>
  <c r="D173" i="2"/>
  <c r="C173" i="2"/>
  <c r="F172" i="2"/>
  <c r="E172" i="2"/>
  <c r="D172" i="2"/>
  <c r="C172" i="2"/>
  <c r="F171" i="2"/>
  <c r="E171" i="2"/>
  <c r="D171" i="2"/>
  <c r="C171" i="2"/>
  <c r="F170" i="2"/>
  <c r="E170" i="2"/>
  <c r="D170" i="2"/>
  <c r="C170" i="2"/>
  <c r="F169" i="2"/>
  <c r="E169" i="2"/>
  <c r="D169" i="2"/>
  <c r="C169" i="2"/>
  <c r="F168" i="2"/>
  <c r="E168" i="2"/>
  <c r="D168" i="2"/>
  <c r="C168" i="2"/>
  <c r="F167" i="2"/>
  <c r="E167" i="2"/>
  <c r="D167" i="2"/>
  <c r="C167" i="2"/>
  <c r="F166" i="2"/>
  <c r="E166" i="2"/>
  <c r="D166" i="2"/>
  <c r="C166" i="2"/>
  <c r="F164" i="2"/>
  <c r="E164" i="2"/>
  <c r="D164" i="2"/>
  <c r="C164" i="2"/>
  <c r="F163" i="2"/>
  <c r="E163" i="2"/>
  <c r="D163" i="2"/>
  <c r="C163" i="2"/>
  <c r="F162" i="2"/>
  <c r="E162" i="2"/>
  <c r="D162" i="2"/>
  <c r="C162" i="2"/>
  <c r="F161" i="2"/>
  <c r="E161" i="2"/>
  <c r="D161" i="2"/>
  <c r="C161" i="2"/>
  <c r="F160" i="2"/>
  <c r="E160" i="2"/>
  <c r="D160" i="2"/>
  <c r="C160" i="2"/>
  <c r="F159" i="2"/>
  <c r="E159" i="2"/>
  <c r="D159" i="2"/>
  <c r="C159" i="2"/>
  <c r="F158" i="2"/>
  <c r="E158" i="2"/>
  <c r="D158" i="2"/>
  <c r="C158" i="2"/>
  <c r="F157" i="2"/>
  <c r="E157" i="2"/>
  <c r="D157" i="2"/>
  <c r="C157" i="2"/>
  <c r="F156" i="2"/>
  <c r="E156" i="2"/>
  <c r="D156" i="2"/>
  <c r="C156" i="2"/>
  <c r="F155" i="2"/>
  <c r="E155" i="2"/>
  <c r="D155" i="2"/>
  <c r="C155" i="2"/>
  <c r="F154" i="2"/>
  <c r="E154" i="2"/>
  <c r="D154" i="2"/>
  <c r="C154" i="2"/>
  <c r="C20" i="1" s="1"/>
  <c r="F153" i="2"/>
  <c r="E153" i="2"/>
  <c r="D153" i="2"/>
  <c r="C153" i="2"/>
  <c r="F151" i="2"/>
  <c r="E151" i="2"/>
  <c r="D151" i="2"/>
  <c r="C151" i="2"/>
  <c r="F150" i="2"/>
  <c r="E150" i="2"/>
  <c r="D150" i="2"/>
  <c r="C150" i="2"/>
  <c r="F149" i="2"/>
  <c r="E149" i="2"/>
  <c r="D149" i="2"/>
  <c r="C149" i="2"/>
  <c r="F148" i="2"/>
  <c r="E148" i="2"/>
  <c r="D148" i="2"/>
  <c r="C148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F144" i="2"/>
  <c r="E144" i="2"/>
  <c r="D144" i="2"/>
  <c r="C144" i="2"/>
  <c r="F143" i="2"/>
  <c r="E143" i="2"/>
  <c r="D143" i="2"/>
  <c r="C143" i="2"/>
  <c r="F142" i="2"/>
  <c r="E142" i="2"/>
  <c r="D142" i="2"/>
  <c r="C142" i="2"/>
  <c r="F141" i="2"/>
  <c r="E141" i="2"/>
  <c r="D141" i="2"/>
  <c r="C141" i="2"/>
  <c r="F140" i="2"/>
  <c r="E140" i="2"/>
  <c r="D140" i="2"/>
  <c r="C140" i="2"/>
  <c r="F138" i="2"/>
  <c r="E138" i="2"/>
  <c r="D138" i="2"/>
  <c r="C138" i="2"/>
  <c r="F137" i="2"/>
  <c r="E137" i="2"/>
  <c r="D137" i="2"/>
  <c r="C137" i="2"/>
  <c r="F136" i="2"/>
  <c r="E136" i="2"/>
  <c r="D136" i="2"/>
  <c r="C136" i="2"/>
  <c r="F135" i="2"/>
  <c r="E135" i="2"/>
  <c r="D135" i="2"/>
  <c r="C135" i="2"/>
  <c r="F134" i="2"/>
  <c r="E134" i="2"/>
  <c r="D134" i="2"/>
  <c r="C134" i="2"/>
  <c r="F133" i="2"/>
  <c r="E133" i="2"/>
  <c r="D133" i="2"/>
  <c r="C133" i="2"/>
  <c r="F132" i="2"/>
  <c r="E132" i="2"/>
  <c r="D132" i="2"/>
  <c r="C132" i="2"/>
  <c r="F131" i="2"/>
  <c r="E131" i="2"/>
  <c r="D131" i="2"/>
  <c r="F130" i="2"/>
  <c r="E130" i="2"/>
  <c r="D130" i="2"/>
  <c r="C130" i="2"/>
  <c r="F129" i="2"/>
  <c r="E129" i="2"/>
  <c r="D129" i="2"/>
  <c r="F128" i="2"/>
  <c r="E128" i="2"/>
  <c r="D128" i="2"/>
  <c r="C128" i="2"/>
  <c r="F127" i="2"/>
  <c r="E127" i="2"/>
  <c r="D127" i="2"/>
  <c r="C127" i="2"/>
  <c r="F125" i="2"/>
  <c r="E125" i="2"/>
  <c r="D125" i="2"/>
  <c r="C125" i="2"/>
  <c r="F124" i="2"/>
  <c r="E124" i="2"/>
  <c r="D124" i="2"/>
  <c r="F123" i="2"/>
  <c r="E123" i="2"/>
  <c r="D123" i="2"/>
  <c r="C123" i="2"/>
  <c r="F122" i="2"/>
  <c r="E122" i="2"/>
  <c r="D122" i="2"/>
  <c r="C122" i="2"/>
  <c r="F121" i="2"/>
  <c r="E121" i="2"/>
  <c r="D121" i="2"/>
  <c r="C121" i="2"/>
  <c r="F120" i="2"/>
  <c r="E120" i="2"/>
  <c r="D120" i="2"/>
  <c r="C120" i="2"/>
  <c r="F119" i="2"/>
  <c r="E119" i="2"/>
  <c r="D119" i="2"/>
  <c r="C119" i="2"/>
  <c r="F118" i="2"/>
  <c r="E118" i="2"/>
  <c r="D118" i="2"/>
  <c r="C118" i="2"/>
  <c r="F117" i="2"/>
  <c r="E117" i="2"/>
  <c r="D117" i="2"/>
  <c r="C117" i="2"/>
  <c r="F116" i="2"/>
  <c r="E116" i="2"/>
  <c r="D116" i="2"/>
  <c r="C116" i="2"/>
  <c r="F115" i="2"/>
  <c r="E115" i="2"/>
  <c r="D115" i="2"/>
  <c r="C115" i="2"/>
  <c r="F114" i="2"/>
  <c r="E114" i="2"/>
  <c r="D114" i="2"/>
  <c r="C114" i="2"/>
  <c r="F112" i="2"/>
  <c r="E112" i="2"/>
  <c r="D112" i="2"/>
  <c r="C112" i="2"/>
  <c r="F111" i="2"/>
  <c r="E111" i="2"/>
  <c r="D111" i="2"/>
  <c r="F110" i="2"/>
  <c r="E110" i="2"/>
  <c r="D110" i="2"/>
  <c r="F109" i="2"/>
  <c r="E109" i="2"/>
  <c r="D109" i="2"/>
  <c r="C109" i="2"/>
  <c r="F108" i="2"/>
  <c r="E108" i="2"/>
  <c r="D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F99" i="2"/>
  <c r="E99" i="2"/>
  <c r="D99" i="2"/>
  <c r="C99" i="2"/>
  <c r="F98" i="2"/>
  <c r="E98" i="2"/>
  <c r="D98" i="2"/>
  <c r="C98" i="2"/>
  <c r="F97" i="2"/>
  <c r="E97" i="2"/>
  <c r="D97" i="2"/>
  <c r="F96" i="2"/>
  <c r="E96" i="2"/>
  <c r="D96" i="2"/>
  <c r="C96" i="2"/>
  <c r="F95" i="2"/>
  <c r="E95" i="2"/>
  <c r="D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F90" i="2"/>
  <c r="E90" i="2"/>
  <c r="D90" i="2"/>
  <c r="F89" i="2"/>
  <c r="E89" i="2"/>
  <c r="D89" i="2"/>
  <c r="C89" i="2"/>
  <c r="F88" i="2"/>
  <c r="E88" i="2"/>
  <c r="D88" i="2"/>
  <c r="C88" i="2"/>
  <c r="F86" i="2"/>
  <c r="E86" i="2"/>
  <c r="D86" i="2"/>
  <c r="F85" i="2"/>
  <c r="E85" i="2"/>
  <c r="D85" i="2"/>
  <c r="F84" i="2"/>
  <c r="E84" i="2"/>
  <c r="D84" i="2"/>
  <c r="F83" i="2"/>
  <c r="E83" i="2"/>
  <c r="D83" i="2"/>
  <c r="C83" i="2"/>
  <c r="F82" i="2"/>
  <c r="E82" i="2"/>
  <c r="D82" i="2"/>
  <c r="F81" i="2"/>
  <c r="E81" i="2"/>
  <c r="D81" i="2"/>
  <c r="F80" i="2"/>
  <c r="E80" i="2"/>
  <c r="D80" i="2"/>
  <c r="C80" i="2"/>
  <c r="F79" i="2"/>
  <c r="E79" i="2"/>
  <c r="D79" i="2"/>
  <c r="F78" i="2"/>
  <c r="E78" i="2"/>
  <c r="D78" i="2"/>
  <c r="F77" i="2"/>
  <c r="E77" i="2"/>
  <c r="D77" i="2"/>
  <c r="C77" i="2"/>
  <c r="F76" i="2"/>
  <c r="E76" i="2"/>
  <c r="D76" i="2"/>
  <c r="C76" i="2"/>
  <c r="F75" i="2"/>
  <c r="E75" i="2"/>
  <c r="D75" i="2"/>
  <c r="C75" i="2"/>
  <c r="F73" i="2"/>
  <c r="E73" i="2"/>
  <c r="D73" i="2"/>
  <c r="C73" i="2"/>
  <c r="F72" i="2"/>
  <c r="E72" i="2"/>
  <c r="D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13" i="1" s="1"/>
  <c r="F65" i="2"/>
  <c r="E65" i="2"/>
  <c r="D65" i="2"/>
  <c r="C65" i="2"/>
  <c r="F64" i="2"/>
  <c r="E64" i="2"/>
  <c r="D64" i="2"/>
  <c r="F63" i="2"/>
  <c r="E63" i="2"/>
  <c r="D63" i="2"/>
  <c r="F62" i="2"/>
  <c r="E62" i="2"/>
  <c r="D62" i="2"/>
  <c r="C62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F56" i="2"/>
  <c r="E56" i="2"/>
  <c r="D56" i="2"/>
  <c r="C56" i="2"/>
  <c r="F55" i="2"/>
  <c r="E55" i="2"/>
  <c r="D55" i="2"/>
  <c r="F54" i="2"/>
  <c r="E54" i="2"/>
  <c r="D54" i="2"/>
  <c r="C54" i="2"/>
  <c r="F53" i="2"/>
  <c r="E53" i="2"/>
  <c r="D53" i="2"/>
  <c r="C53" i="2"/>
  <c r="F52" i="2"/>
  <c r="E52" i="2"/>
  <c r="D52" i="2"/>
  <c r="F51" i="2"/>
  <c r="E51" i="2"/>
  <c r="D51" i="2"/>
  <c r="C51" i="2"/>
  <c r="F50" i="2"/>
  <c r="E50" i="2"/>
  <c r="D50" i="2"/>
  <c r="C50" i="2"/>
  <c r="F49" i="2"/>
  <c r="E49" i="2"/>
  <c r="D49" i="2"/>
  <c r="C49" i="2"/>
  <c r="F47" i="2"/>
  <c r="E47" i="2"/>
  <c r="D47" i="2"/>
  <c r="C47" i="2"/>
  <c r="C11" i="1" s="1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/>
  <c r="E34" i="2"/>
  <c r="D34" i="2"/>
  <c r="C34" i="2"/>
  <c r="F33" i="2"/>
  <c r="E33" i="2"/>
  <c r="D33" i="2"/>
  <c r="F32" i="2"/>
  <c r="E32" i="2"/>
  <c r="D32" i="2"/>
  <c r="F31" i="2"/>
  <c r="E31" i="2"/>
  <c r="D31" i="2"/>
  <c r="C31" i="2"/>
  <c r="F30" i="2"/>
  <c r="E30" i="2"/>
  <c r="D30" i="2"/>
  <c r="F29" i="2"/>
  <c r="E29" i="2"/>
  <c r="D29" i="2"/>
  <c r="C29" i="2"/>
  <c r="F28" i="2"/>
  <c r="E28" i="2"/>
  <c r="D28" i="2"/>
  <c r="C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C23" i="2"/>
  <c r="F21" i="2"/>
  <c r="E21" i="2"/>
  <c r="D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C9" i="1" s="1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J63" i="1"/>
  <c r="J62" i="1"/>
  <c r="J53" i="1"/>
  <c r="J52" i="1"/>
  <c r="B48" i="1"/>
  <c r="B49" i="1" s="1"/>
  <c r="J51" i="1"/>
  <c r="J59" i="1" s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C40" i="1" l="1"/>
  <c r="C29" i="1"/>
  <c r="K491" i="2"/>
  <c r="C19" i="1"/>
  <c r="C21" i="1"/>
  <c r="C24" i="1"/>
  <c r="C27" i="1"/>
  <c r="C37" i="1"/>
  <c r="C14" i="1"/>
  <c r="C18" i="1"/>
  <c r="E26" i="1"/>
  <c r="E39" i="1"/>
  <c r="E40" i="1"/>
  <c r="C47" i="1"/>
  <c r="K63" i="1"/>
  <c r="K66" i="1" s="1"/>
  <c r="C45" i="1"/>
  <c r="C17" i="1"/>
  <c r="C43" i="1"/>
  <c r="C46" i="1"/>
  <c r="C10" i="1"/>
  <c r="E38" i="1"/>
  <c r="K504" i="2"/>
  <c r="C12" i="1"/>
  <c r="C15" i="1"/>
  <c r="C48" i="1"/>
  <c r="C49" i="1" s="1"/>
  <c r="K52" i="1"/>
  <c r="K59" i="1" s="1"/>
  <c r="C16" i="1"/>
  <c r="K62" i="1"/>
  <c r="E24" i="1"/>
  <c r="D42" i="1"/>
  <c r="D46" i="1"/>
  <c r="F26" i="1"/>
  <c r="F31" i="1"/>
  <c r="E48" i="1"/>
  <c r="E49" i="1" s="1"/>
  <c r="E21" i="1"/>
  <c r="E25" i="1"/>
  <c r="E46" i="1"/>
  <c r="D13" i="1"/>
  <c r="E36" i="1"/>
  <c r="F24" i="1"/>
  <c r="F27" i="1"/>
  <c r="F33" i="1"/>
  <c r="F39" i="1"/>
  <c r="F44" i="1"/>
  <c r="F22" i="1"/>
  <c r="F36" i="1"/>
  <c r="F40" i="1"/>
  <c r="F42" i="1"/>
  <c r="F45" i="1"/>
  <c r="F48" i="1"/>
  <c r="F49" i="1" s="1"/>
  <c r="D29" i="1"/>
  <c r="F23" i="1"/>
  <c r="F34" i="1"/>
  <c r="E19" i="1"/>
  <c r="E35" i="1"/>
  <c r="D38" i="1"/>
  <c r="E31" i="1"/>
  <c r="E42" i="1"/>
  <c r="D37" i="1"/>
  <c r="F35" i="1"/>
  <c r="D35" i="1"/>
  <c r="E34" i="1"/>
  <c r="D25" i="1"/>
  <c r="E29" i="1"/>
  <c r="F41" i="1"/>
  <c r="J58" i="1"/>
  <c r="F25" i="1"/>
  <c r="F43" i="1"/>
  <c r="E18" i="1"/>
  <c r="D48" i="1"/>
  <c r="D49" i="1" s="1"/>
  <c r="D47" i="1"/>
  <c r="D22" i="1"/>
  <c r="D40" i="1"/>
  <c r="D32" i="1"/>
  <c r="E22" i="1"/>
  <c r="D45" i="1"/>
  <c r="E43" i="1"/>
  <c r="E44" i="1"/>
  <c r="E45" i="1"/>
  <c r="F29" i="1"/>
  <c r="E41" i="1"/>
  <c r="E20" i="1"/>
  <c r="E33" i="1"/>
  <c r="F19" i="1"/>
  <c r="E47" i="1"/>
  <c r="F13" i="1"/>
  <c r="E16" i="1"/>
  <c r="F16" i="1"/>
  <c r="D9" i="1"/>
  <c r="E28" i="1"/>
  <c r="F47" i="1"/>
  <c r="D26" i="1"/>
  <c r="D36" i="1"/>
  <c r="D41" i="1"/>
  <c r="E12" i="1"/>
  <c r="F15" i="1"/>
  <c r="E23" i="1"/>
  <c r="E27" i="1"/>
  <c r="E32" i="1"/>
  <c r="E37" i="1"/>
  <c r="F12" i="1"/>
  <c r="F20" i="1"/>
  <c r="F21" i="1"/>
  <c r="F28" i="1"/>
  <c r="F30" i="1"/>
  <c r="F32" i="1"/>
  <c r="F38" i="1"/>
  <c r="F46" i="1"/>
  <c r="D17" i="1"/>
  <c r="F17" i="1"/>
  <c r="D16" i="1"/>
  <c r="D10" i="1"/>
  <c r="E9" i="1"/>
  <c r="E30" i="1"/>
  <c r="E13" i="1"/>
  <c r="D14" i="1"/>
  <c r="D33" i="1"/>
  <c r="E10" i="1"/>
  <c r="E15" i="1"/>
  <c r="D19" i="1"/>
  <c r="D23" i="1"/>
  <c r="D30" i="1"/>
  <c r="D43" i="1"/>
  <c r="D11" i="1"/>
  <c r="J49" i="1"/>
  <c r="F14" i="1"/>
  <c r="D39" i="1"/>
  <c r="D12" i="1"/>
  <c r="F37" i="1"/>
  <c r="D24" i="1"/>
  <c r="D27" i="1"/>
  <c r="D31" i="1"/>
  <c r="F10" i="1"/>
  <c r="E11" i="1"/>
  <c r="E14" i="1"/>
  <c r="E17" i="1"/>
  <c r="D20" i="1"/>
  <c r="D28" i="1"/>
  <c r="F9" i="1"/>
  <c r="F18" i="1"/>
  <c r="D34" i="1"/>
  <c r="F11" i="1"/>
  <c r="D15" i="1"/>
  <c r="D18" i="1"/>
  <c r="D21" i="1"/>
  <c r="D44" i="1"/>
  <c r="J66" i="1"/>
  <c r="K53" i="1"/>
  <c r="K517" i="2"/>
  <c r="K49" i="1" l="1"/>
  <c r="K58" i="1"/>
</calcChain>
</file>

<file path=xl/sharedStrings.xml><?xml version="1.0" encoding="utf-8"?>
<sst xmlns="http://schemas.openxmlformats.org/spreadsheetml/2006/main" count="958" uniqueCount="432">
  <si>
    <t>Year</t>
  </si>
  <si>
    <t>Number of Deals</t>
  </si>
  <si>
    <t>Value</t>
  </si>
  <si>
    <t>Source</t>
  </si>
  <si>
    <t>in bil. USD</t>
  </si>
  <si>
    <t>in bil. EUR</t>
  </si>
  <si>
    <t>in bil. GBP</t>
  </si>
  <si>
    <t>in bil. YEN</t>
  </si>
  <si>
    <t>Capital IQ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</si>
  <si>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</si>
  <si>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</si>
  <si>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</si>
  <si>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</si>
  <si>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</si>
  <si>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</si>
  <si>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</si>
  <si>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</si>
  <si>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</si>
  <si>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</si>
  <si>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</si>
  <si>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</si>
  <si>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</si>
  <si>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</si>
  <si>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</si>
  <si>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</si>
  <si>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</si>
  <si>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Total Since 1985</t>
  </si>
  <si>
    <t xml:space="preserve">Value of Deals </t>
  </si>
  <si>
    <t>Total 2021</t>
  </si>
  <si>
    <t>2024 (Mar 31)</t>
  </si>
  <si>
    <t>Total 2022</t>
  </si>
  <si>
    <t>2024 e</t>
  </si>
  <si>
    <t>Total 2023</t>
  </si>
  <si>
    <t>Percentage Change</t>
  </si>
  <si>
    <t>2023 to 2022</t>
  </si>
  <si>
    <t>2022 to 2021</t>
  </si>
  <si>
    <t>Total Jan - Mar 2023</t>
  </si>
  <si>
    <t>Total Jan - Mar 2024</t>
  </si>
  <si>
    <t>Jan - Mar 2023 to Jan - Mar 2024</t>
  </si>
  <si>
    <t>Month</t>
  </si>
  <si>
    <t>Number</t>
  </si>
  <si>
    <t>Jan-85</t>
  </si>
  <si>
    <t>Feb-85</t>
  </si>
  <si>
    <t>Mar-85</t>
  </si>
  <si>
    <t>Apr-85</t>
  </si>
  <si>
    <t>May-85</t>
  </si>
  <si>
    <t>Jun-85</t>
  </si>
  <si>
    <t>Jul-85</t>
  </si>
  <si>
    <t>Aug-85</t>
  </si>
  <si>
    <t>Sep-85</t>
  </si>
  <si>
    <t>Oct-85</t>
  </si>
  <si>
    <t>Nov-85</t>
  </si>
  <si>
    <t>Dec-95</t>
  </si>
  <si>
    <t>Jan-86</t>
  </si>
  <si>
    <t>Feb-86</t>
  </si>
  <si>
    <t>Mar-86</t>
  </si>
  <si>
    <t>Apr-86</t>
  </si>
  <si>
    <t>May-86</t>
  </si>
  <si>
    <t>Jun-86</t>
  </si>
  <si>
    <t>Jul-86</t>
  </si>
  <si>
    <t>Aug-86</t>
  </si>
  <si>
    <t>Sep-86</t>
  </si>
  <si>
    <t>Oct-86</t>
  </si>
  <si>
    <t>Nov-86</t>
  </si>
  <si>
    <t>Dec-86</t>
  </si>
  <si>
    <t>Jan-87</t>
  </si>
  <si>
    <t>Feb-87</t>
  </si>
  <si>
    <t>Mar-87</t>
  </si>
  <si>
    <t>Apr-87</t>
  </si>
  <si>
    <t>May-87</t>
  </si>
  <si>
    <t>Jun-87</t>
  </si>
  <si>
    <t>Jul-87</t>
  </si>
  <si>
    <t>Aug-87</t>
  </si>
  <si>
    <t>Sep-87</t>
  </si>
  <si>
    <t>Oct-87</t>
  </si>
  <si>
    <t>Nov-87</t>
  </si>
  <si>
    <t>Dec-87</t>
  </si>
  <si>
    <t>Jan-88</t>
  </si>
  <si>
    <t>Feb-88</t>
  </si>
  <si>
    <t>Mar-88</t>
  </si>
  <si>
    <t>Apr-88</t>
  </si>
  <si>
    <t>May-88</t>
  </si>
  <si>
    <t>Jun-88</t>
  </si>
  <si>
    <t>Jul-88</t>
  </si>
  <si>
    <t>Aug-88</t>
  </si>
  <si>
    <t>Sep-88</t>
  </si>
  <si>
    <t>Oct-88</t>
  </si>
  <si>
    <t>Nov-88</t>
  </si>
  <si>
    <t>Dec-88</t>
  </si>
  <si>
    <t>Jan-89</t>
  </si>
  <si>
    <t>Feb-89</t>
  </si>
  <si>
    <t>Mar-89</t>
  </si>
  <si>
    <t>Apr-89</t>
  </si>
  <si>
    <t>May-89</t>
  </si>
  <si>
    <t>Jun-89</t>
  </si>
  <si>
    <t>Jul-89</t>
  </si>
  <si>
    <t>Aug-89</t>
  </si>
  <si>
    <t>Sep-89</t>
  </si>
  <si>
    <t>Oct-89</t>
  </si>
  <si>
    <t>Nov-89</t>
  </si>
  <si>
    <t>Dec-89</t>
  </si>
  <si>
    <t>Jan-90</t>
  </si>
  <si>
    <t>Feb-90</t>
  </si>
  <si>
    <t>Mar-90</t>
  </si>
  <si>
    <t>Apr-90</t>
  </si>
  <si>
    <t>May-90</t>
  </si>
  <si>
    <t>Jun-90</t>
  </si>
  <si>
    <t>Jul-90</t>
  </si>
  <si>
    <t>Aug-90</t>
  </si>
  <si>
    <t>Sep-90</t>
  </si>
  <si>
    <t>Oct-90</t>
  </si>
  <si>
    <t>Nov-90</t>
  </si>
  <si>
    <t>Dec-90</t>
  </si>
  <si>
    <t>Jan-91</t>
  </si>
  <si>
    <t>Feb-91</t>
  </si>
  <si>
    <t>Mar-91</t>
  </si>
  <si>
    <t>Apr-91</t>
  </si>
  <si>
    <t>May-91</t>
  </si>
  <si>
    <t>Jun-91</t>
  </si>
  <si>
    <t>Jul-91</t>
  </si>
  <si>
    <t>Aug-91</t>
  </si>
  <si>
    <t>Sep-91</t>
  </si>
  <si>
    <t>Oct-91</t>
  </si>
  <si>
    <t>Nov-91</t>
  </si>
  <si>
    <t>Dec-91</t>
  </si>
  <si>
    <t>Jan-92</t>
  </si>
  <si>
    <t>Feb-92</t>
  </si>
  <si>
    <t>Mar-92</t>
  </si>
  <si>
    <t>Apr-92</t>
  </si>
  <si>
    <t>May-92</t>
  </si>
  <si>
    <t>Jun-92</t>
  </si>
  <si>
    <t>Jul-92</t>
  </si>
  <si>
    <t>Aug-92</t>
  </si>
  <si>
    <t>Sep-92</t>
  </si>
  <si>
    <t>Oct-92</t>
  </si>
  <si>
    <t>Nov-92</t>
  </si>
  <si>
    <t>Dec-92</t>
  </si>
  <si>
    <t>Jan-93</t>
  </si>
  <si>
    <t>Feb-93</t>
  </si>
  <si>
    <t>Mar-93</t>
  </si>
  <si>
    <t>Apr-93</t>
  </si>
  <si>
    <t>May-93</t>
  </si>
  <si>
    <t>Jun-93</t>
  </si>
  <si>
    <t>Jul-93</t>
  </si>
  <si>
    <t>Aug-93</t>
  </si>
  <si>
    <t>Sep-93</t>
  </si>
  <si>
    <t>Oct-93</t>
  </si>
  <si>
    <t>Nov-93</t>
  </si>
  <si>
    <t>Dec-93</t>
  </si>
  <si>
    <t>Jan-94</t>
  </si>
  <si>
    <t>Feb-94</t>
  </si>
  <si>
    <t>Mar-94</t>
  </si>
  <si>
    <t>Apr-94</t>
  </si>
  <si>
    <t>May-94</t>
  </si>
  <si>
    <t>Jun-94</t>
  </si>
  <si>
    <t>Jul-94</t>
  </si>
  <si>
    <t>Aug-94</t>
  </si>
  <si>
    <t>Sep-94</t>
  </si>
  <si>
    <t>Oct-94</t>
  </si>
  <si>
    <t>Nov-94</t>
  </si>
  <si>
    <t>Dec-94</t>
  </si>
  <si>
    <t>Jan-95</t>
  </si>
  <si>
    <t>Feb-95</t>
  </si>
  <si>
    <t>Mar-95</t>
  </si>
  <si>
    <t>Apr-95</t>
  </si>
  <si>
    <t>May-95</t>
  </si>
  <si>
    <t>Jun-95</t>
  </si>
  <si>
    <t>Jul-95</t>
  </si>
  <si>
    <t>Aug-95</t>
  </si>
  <si>
    <t>Sep-95</t>
  </si>
  <si>
    <t>Oct-95</t>
  </si>
  <si>
    <t>Nov-95</t>
  </si>
  <si>
    <t>Jan-96</t>
  </si>
  <si>
    <t>Feb-96</t>
  </si>
  <si>
    <t>Mar-96</t>
  </si>
  <si>
    <t>Apr-96</t>
  </si>
  <si>
    <t>May-96</t>
  </si>
  <si>
    <t>Jun-96</t>
  </si>
  <si>
    <t>Jul-96</t>
  </si>
  <si>
    <t>Aug-96</t>
  </si>
  <si>
    <t>Sep-96</t>
  </si>
  <si>
    <t>Oct-96</t>
  </si>
  <si>
    <t>Nov-96</t>
  </si>
  <si>
    <t>Dec-96</t>
  </si>
  <si>
    <t>Jan-97</t>
  </si>
  <si>
    <t>Feb-97</t>
  </si>
  <si>
    <t>Mar-97</t>
  </si>
  <si>
    <t>Apr-97</t>
  </si>
  <si>
    <t>May-97</t>
  </si>
  <si>
    <t>Jun-97</t>
  </si>
  <si>
    <t>Jul-97</t>
  </si>
  <si>
    <t>Aug-97</t>
  </si>
  <si>
    <t>Sep-97</t>
  </si>
  <si>
    <t>Oct-97</t>
  </si>
  <si>
    <t>Nov-97</t>
  </si>
  <si>
    <t>Dec-97</t>
  </si>
  <si>
    <t>Jan-98</t>
  </si>
  <si>
    <t>Feb-98</t>
  </si>
  <si>
    <t>Mar-98</t>
  </si>
  <si>
    <t>Apr-98</t>
  </si>
  <si>
    <t>May-98</t>
  </si>
  <si>
    <t>Jun-98</t>
  </si>
  <si>
    <t>Jul-98</t>
  </si>
  <si>
    <t>Aug-98</t>
  </si>
  <si>
    <t>Sep-98</t>
  </si>
  <si>
    <t>Oct-98</t>
  </si>
  <si>
    <t>Nov-98</t>
  </si>
  <si>
    <t>Dec-98</t>
  </si>
  <si>
    <t>Jan-99</t>
  </si>
  <si>
    <t>Feb-99</t>
  </si>
  <si>
    <t>Mar-99</t>
  </si>
  <si>
    <t>Apr-99</t>
  </si>
  <si>
    <t>May-99</t>
  </si>
  <si>
    <t>Jun-99</t>
  </si>
  <si>
    <t>Jul-99</t>
  </si>
  <si>
    <t>Aug-99</t>
  </si>
  <si>
    <t>Sep-99</t>
  </si>
  <si>
    <t>Oct-99</t>
  </si>
  <si>
    <t>Nov-99</t>
  </si>
  <si>
    <t>Dec-99</t>
  </si>
  <si>
    <t>Jan-00</t>
  </si>
  <si>
    <t>Feb-00</t>
  </si>
  <si>
    <t>Mar-00</t>
  </si>
  <si>
    <t>Apr-00</t>
  </si>
  <si>
    <t>May-00</t>
  </si>
  <si>
    <t>Jun-00</t>
  </si>
  <si>
    <t>Jul-00</t>
  </si>
  <si>
    <t>Aug-00</t>
  </si>
  <si>
    <t>Sep-00</t>
  </si>
  <si>
    <t>Oct-00</t>
  </si>
  <si>
    <t>Nov-00</t>
  </si>
  <si>
    <t>Dec-00</t>
  </si>
  <si>
    <t>Jan-02</t>
  </si>
  <si>
    <t>Feb-02</t>
  </si>
  <si>
    <t>Mar-02</t>
  </si>
  <si>
    <t>Apr-02</t>
  </si>
  <si>
    <t>May-02</t>
  </si>
  <si>
    <t>Jun-02</t>
  </si>
  <si>
    <t>Jul-02</t>
  </si>
  <si>
    <t>Aug-02</t>
  </si>
  <si>
    <t>Sep-02</t>
  </si>
  <si>
    <t>Oct-02</t>
  </si>
  <si>
    <t>Nov-02</t>
  </si>
  <si>
    <t>Dec-02</t>
  </si>
  <si>
    <t>Jan-03</t>
  </si>
  <si>
    <t>Feb-03</t>
  </si>
  <si>
    <t>Mar-03</t>
  </si>
  <si>
    <t>Apr-03</t>
  </si>
  <si>
    <t>May-03</t>
  </si>
  <si>
    <t>Jun-03</t>
  </si>
  <si>
    <t>Jul-03</t>
  </si>
  <si>
    <t>Aug-03</t>
  </si>
  <si>
    <t>Sep-03</t>
  </si>
  <si>
    <t>Oct-03</t>
  </si>
  <si>
    <t>Nov-03</t>
  </si>
  <si>
    <t>Dec-03</t>
  </si>
  <si>
    <t>Jan-04</t>
  </si>
  <si>
    <t>Feb-04</t>
  </si>
  <si>
    <t>Mar-04</t>
  </si>
  <si>
    <t>Apr-04</t>
  </si>
  <si>
    <t>May-04</t>
  </si>
  <si>
    <t>Jun-04</t>
  </si>
  <si>
    <t>Jul-04</t>
  </si>
  <si>
    <t>Aug-04</t>
  </si>
  <si>
    <t>Sep-04</t>
  </si>
  <si>
    <t>Oct-04</t>
  </si>
  <si>
    <t>Nov-04</t>
  </si>
  <si>
    <t>Dec-04</t>
  </si>
  <si>
    <t>Jan-05</t>
  </si>
  <si>
    <t>Feb-05</t>
  </si>
  <si>
    <t>Mar-05</t>
  </si>
  <si>
    <t>Apr-05</t>
  </si>
  <si>
    <t>May-05</t>
  </si>
  <si>
    <t>Jun-05</t>
  </si>
  <si>
    <t>Jul-05</t>
  </si>
  <si>
    <t>Aug-05</t>
  </si>
  <si>
    <t>Sep-05</t>
  </si>
  <si>
    <t>Oct-05</t>
  </si>
  <si>
    <t>Nov-05</t>
  </si>
  <si>
    <t>Dec-05</t>
  </si>
  <si>
    <t>Jan-06</t>
  </si>
  <si>
    <t>Feb-06</t>
  </si>
  <si>
    <t>Mar-06</t>
  </si>
  <si>
    <t>Apr-06</t>
  </si>
  <si>
    <t>May-06</t>
  </si>
  <si>
    <t>Jun-06</t>
  </si>
  <si>
    <t>Jul-06</t>
  </si>
  <si>
    <t>Aug-06</t>
  </si>
  <si>
    <t>Sep-06</t>
  </si>
  <si>
    <t>Oct-06</t>
  </si>
  <si>
    <t>Nov-06</t>
  </si>
  <si>
    <t>Dec-06</t>
  </si>
  <si>
    <t>Jan-07</t>
  </si>
  <si>
    <t>Feb-07</t>
  </si>
  <si>
    <t>Mar-07</t>
  </si>
  <si>
    <t>Apr-07</t>
  </si>
  <si>
    <t>May-07</t>
  </si>
  <si>
    <t>Jun-07</t>
  </si>
  <si>
    <t>Jul-07</t>
  </si>
  <si>
    <t>Aug-07</t>
  </si>
  <si>
    <t>Sep-07</t>
  </si>
  <si>
    <t>Oct-07</t>
  </si>
  <si>
    <t>Nov-07</t>
  </si>
  <si>
    <t>Dec-07</t>
  </si>
  <si>
    <t>Jan-08</t>
  </si>
  <si>
    <t>Feb-08</t>
  </si>
  <si>
    <t>Mar-08</t>
  </si>
  <si>
    <t>Apr-08</t>
  </si>
  <si>
    <t>May-08</t>
  </si>
  <si>
    <t>Jun-08</t>
  </si>
  <si>
    <t>Jul-08</t>
  </si>
  <si>
    <t>Aug-08</t>
  </si>
  <si>
    <t>Sep-08</t>
  </si>
  <si>
    <t>Oct-08</t>
  </si>
  <si>
    <t>Nov-08</t>
  </si>
  <si>
    <t>Dec-08</t>
  </si>
  <si>
    <t>Jan-09</t>
  </si>
  <si>
    <t>Feb-09</t>
  </si>
  <si>
    <t>Mar-09</t>
  </si>
  <si>
    <t>Apr-09</t>
  </si>
  <si>
    <t>May-09</t>
  </si>
  <si>
    <t>Jun-09</t>
  </si>
  <si>
    <t>Jul-09</t>
  </si>
  <si>
    <t>Aug-09</t>
  </si>
  <si>
    <t>Sep-09</t>
  </si>
  <si>
    <t>Oct-09</t>
  </si>
  <si>
    <t>Nov-09</t>
  </si>
  <si>
    <t>Dec-09</t>
  </si>
  <si>
    <t>Jan-10</t>
  </si>
  <si>
    <t>Feb-10</t>
  </si>
  <si>
    <t>Mar-10</t>
  </si>
  <si>
    <t>Apr-10</t>
  </si>
  <si>
    <t>May-10</t>
  </si>
  <si>
    <t>Jun-10</t>
  </si>
  <si>
    <t>Jul-10</t>
  </si>
  <si>
    <t>Aug-10</t>
  </si>
  <si>
    <t>Sep-10</t>
  </si>
  <si>
    <t>Oct-10</t>
  </si>
  <si>
    <t>Nov-10</t>
  </si>
  <si>
    <t>Dec-10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</si>
  <si>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</si>
  <si>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</si>
  <si>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</si>
  <si>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</si>
  <si>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</si>
  <si>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</si>
  <si>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</si>
  <si>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</si>
  <si>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</si>
  <si>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</si>
  <si>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</si>
  <si>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</si>
  <si>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</si>
  <si>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</si>
  <si>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</si>
  <si>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</si>
  <si>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</si>
  <si>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</si>
  <si>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</si>
  <si>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</si>
  <si>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</si>
  <si>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</si>
  <si>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</si>
  <si>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</si>
  <si>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</si>
  <si>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</si>
  <si>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</si>
  <si>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</si>
  <si>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</si>
  <si>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</si>
  <si>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</si>
  <si>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</si>
  <si>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</si>
  <si>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</si>
  <si>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</si>
  <si>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</si>
  <si>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</si>
  <si>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</si>
  <si>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</si>
  <si>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</si>
  <si>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</si>
  <si>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</si>
  <si>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</si>
  <si>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</si>
  <si>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</si>
  <si>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</si>
  <si>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</si>
  <si>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</si>
  <si>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</si>
  <si>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</si>
  <si>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</si>
  <si>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</si>
  <si>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</si>
  <si>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</si>
  <si>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</si>
  <si>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</si>
  <si>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</si>
  <si>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</si>
  <si>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</si>
  <si>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</si>
  <si>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</si>
  <si>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</si>
  <si>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</si>
  <si>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</si>
  <si>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</si>
  <si>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</si>
  <si>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</si>
  <si>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</si>
  <si>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</si>
  <si>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</si>
  <si>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</si>
  <si>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</si>
  <si>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</si>
  <si>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</si>
  <si>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</si>
  <si>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</si>
  <si>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</si>
  <si>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</si>
  <si>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</si>
  <si>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</si>
  <si>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</si>
  <si>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</si>
  <si>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</si>
  <si>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</si>
  <si>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`</t>
  </si>
  <si>
    <t>Sep-20</t>
  </si>
  <si>
    <t>Jan-Nov 2022</t>
  </si>
  <si>
    <t>Value of Deals</t>
  </si>
  <si>
    <t>Jan-Nov 2023</t>
  </si>
  <si>
    <t>Jan-Mar 2024</t>
  </si>
  <si>
    <t>TRANSPORTATION INDUSTRY</t>
  </si>
  <si>
    <t>M&amp;A Activity Summary  |  Published Date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</si>
</sst>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"/>
    <numFmt numFmtId="166" formatCode="mmm\-d"/>
    <numFmt numFmtId="167" formatCode="mmm\-dd"/>
    <numFmt numFmtId="168" formatCode="mmmm\-dd"/>
    <numFmt numFmtId="169" formatCode="mmmm\-d"/>
    <numFmt numFmtId="170" formatCode="mmm\ yyyy"/>
    <numFmt numFmtId="171" formatCode="mmm&quot;-&quot;yy"/>
  </numFmts>
  <fonts count="10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theme="0"/>
      <name val="Arial"/>
      <family val="2"/>
    </font>
    <font>
      <sz val="10"/>
      <name val="Arial"/>
      <family val="2"/>
    </font>
    <font>
      <sz val="9"/>
      <name val="&quot;Google Sans Mono&quot;"/>
    </font>
    <font>
      <sz val="26"/>
      <color theme="0"/>
      <name val="Museo Sans 900"/>
      <family val="3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3" tint="0.89999084444715716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624C"/>
        <bgColor rgb="FFFFFF00"/>
      </patternFill>
    </fill>
    <fill>
      <patternFill patternType="solid">
        <fgColor theme="3" tint="0.89996032593768116"/>
        <bgColor rgb="FFFFFFFF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3" fontId="2" fillId="6" borderId="5" xfId="0" applyNumberFormat="1" applyFont="1" applyFill="1" applyBorder="1" applyAlignment="1">
      <alignment horizontal="center" vertical="center"/>
    </xf>
    <xf numFmtId="4" fontId="2" fillId="6" borderId="6" xfId="0" applyNumberFormat="1" applyFont="1" applyFill="1" applyBorder="1" applyAlignment="1">
      <alignment horizontal="center" vertical="center"/>
    </xf>
    <xf numFmtId="3" fontId="3" fillId="6" borderId="5" xfId="0" applyNumberFormat="1" applyFont="1" applyFill="1" applyBorder="1" applyAlignment="1">
      <alignment horizontal="center" vertical="center"/>
    </xf>
    <xf numFmtId="4" fontId="3" fillId="6" borderId="6" xfId="0" applyNumberFormat="1" applyFont="1" applyFill="1" applyBorder="1" applyAlignment="1">
      <alignment horizontal="center" vertical="center"/>
    </xf>
    <xf numFmtId="3" fontId="1" fillId="6" borderId="5" xfId="0" applyNumberFormat="1" applyFont="1" applyFill="1" applyBorder="1" applyAlignment="1">
      <alignment horizontal="center" vertical="center"/>
    </xf>
    <xf numFmtId="4" fontId="1" fillId="6" borderId="6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5" fillId="3" borderId="16" xfId="0" quotePrefix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2" fontId="7" fillId="7" borderId="2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2" fontId="7" fillId="7" borderId="3" xfId="0" applyNumberFormat="1" applyFont="1" applyFill="1" applyBorder="1" applyAlignment="1">
      <alignment horizontal="center" vertical="center"/>
    </xf>
    <xf numFmtId="2" fontId="7" fillId="8" borderId="5" xfId="0" applyNumberFormat="1" applyFont="1" applyFill="1" applyBorder="1" applyAlignment="1">
      <alignment horizontal="center" vertical="center"/>
    </xf>
    <xf numFmtId="2" fontId="7" fillId="8" borderId="6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7" borderId="3" xfId="0" applyNumberFormat="1" applyFont="1" applyFill="1" applyBorder="1" applyAlignment="1">
      <alignment horizontal="center" vertical="center"/>
    </xf>
    <xf numFmtId="165" fontId="1" fillId="7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3" fontId="1" fillId="7" borderId="6" xfId="0" applyNumberFormat="1" applyFont="1" applyFill="1" applyBorder="1" applyAlignment="1">
      <alignment horizontal="center" vertical="center"/>
    </xf>
    <xf numFmtId="165" fontId="1" fillId="7" borderId="6" xfId="0" applyNumberFormat="1" applyFont="1" applyFill="1" applyBorder="1" applyAlignment="1">
      <alignment horizontal="center" vertical="center"/>
    </xf>
    <xf numFmtId="3" fontId="1" fillId="8" borderId="6" xfId="0" applyNumberFormat="1" applyFont="1" applyFill="1" applyBorder="1" applyAlignment="1">
      <alignment horizontal="center" vertical="center"/>
    </xf>
    <xf numFmtId="165" fontId="1" fillId="8" borderId="6" xfId="0" applyNumberFormat="1" applyFont="1" applyFill="1" applyBorder="1" applyAlignment="1">
      <alignment horizontal="center" vertical="center"/>
    </xf>
    <xf numFmtId="4" fontId="1" fillId="5" borderId="6" xfId="0" applyNumberFormat="1" applyFont="1" applyFill="1" applyBorder="1" applyAlignment="1">
      <alignment horizontal="center" vertical="center"/>
    </xf>
    <xf numFmtId="3" fontId="1" fillId="8" borderId="8" xfId="0" applyNumberFormat="1" applyFont="1" applyFill="1" applyBorder="1" applyAlignment="1">
      <alignment horizontal="center" vertical="center"/>
    </xf>
    <xf numFmtId="165" fontId="1" fillId="8" borderId="8" xfId="0" applyNumberFormat="1" applyFont="1" applyFill="1" applyBorder="1" applyAlignment="1">
      <alignment horizontal="center" vertical="center"/>
    </xf>
    <xf numFmtId="4" fontId="1" fillId="5" borderId="8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4" fontId="1" fillId="7" borderId="6" xfId="0" applyNumberFormat="1" applyFont="1" applyFill="1" applyBorder="1" applyAlignment="1">
      <alignment horizontal="center" vertical="center"/>
    </xf>
    <xf numFmtId="3" fontId="1" fillId="11" borderId="6" xfId="0" applyNumberFormat="1" applyFont="1" applyFill="1" applyBorder="1" applyAlignment="1">
      <alignment horizontal="center" vertical="center"/>
    </xf>
    <xf numFmtId="165" fontId="1" fillId="11" borderId="6" xfId="0" applyNumberFormat="1" applyFont="1" applyFill="1" applyBorder="1" applyAlignment="1">
      <alignment horizontal="center" vertical="center"/>
    </xf>
    <xf numFmtId="4" fontId="1" fillId="11" borderId="6" xfId="0" applyNumberFormat="1" applyFont="1" applyFill="1" applyBorder="1" applyAlignment="1">
      <alignment horizontal="center" vertical="center"/>
    </xf>
    <xf numFmtId="3" fontId="1" fillId="11" borderId="8" xfId="0" applyNumberFormat="1" applyFont="1" applyFill="1" applyBorder="1" applyAlignment="1">
      <alignment horizontal="center" vertical="center"/>
    </xf>
    <xf numFmtId="165" fontId="1" fillId="11" borderId="8" xfId="0" applyNumberFormat="1" applyFont="1" applyFill="1" applyBorder="1" applyAlignment="1">
      <alignment horizontal="center" vertical="center"/>
    </xf>
    <xf numFmtId="4" fontId="1" fillId="11" borderId="8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3" fontId="4" fillId="7" borderId="3" xfId="0" applyNumberFormat="1" applyFont="1" applyFill="1" applyBorder="1" applyAlignment="1">
      <alignment horizontal="center" vertical="center"/>
    </xf>
    <xf numFmtId="3" fontId="4" fillId="7" borderId="6" xfId="0" applyNumberFormat="1" applyFont="1" applyFill="1" applyBorder="1" applyAlignment="1">
      <alignment horizontal="center" vertical="center"/>
    </xf>
    <xf numFmtId="3" fontId="4" fillId="11" borderId="6" xfId="0" applyNumberFormat="1" applyFont="1" applyFill="1" applyBorder="1" applyAlignment="1">
      <alignment horizontal="center" vertical="center"/>
    </xf>
    <xf numFmtId="3" fontId="4" fillId="11" borderId="8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center" vertical="center"/>
    </xf>
    <xf numFmtId="4" fontId="4" fillId="7" borderId="6" xfId="0" applyNumberFormat="1" applyFont="1" applyFill="1" applyBorder="1" applyAlignment="1">
      <alignment horizontal="center" vertical="center"/>
    </xf>
    <xf numFmtId="4" fontId="4" fillId="11" borderId="6" xfId="0" applyNumberFormat="1" applyFont="1" applyFill="1" applyBorder="1" applyAlignment="1">
      <alignment horizontal="center" vertical="center"/>
    </xf>
    <xf numFmtId="4" fontId="4" fillId="11" borderId="8" xfId="0" applyNumberFormat="1" applyFont="1" applyFill="1" applyBorder="1" applyAlignment="1">
      <alignment horizontal="center" vertical="center"/>
    </xf>
    <xf numFmtId="3" fontId="2" fillId="11" borderId="6" xfId="0" applyNumberFormat="1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165" fontId="2" fillId="7" borderId="6" xfId="0" applyNumberFormat="1" applyFont="1" applyFill="1" applyBorder="1" applyAlignment="1">
      <alignment horizontal="center" vertical="center"/>
    </xf>
    <xf numFmtId="165" fontId="2" fillId="11" borderId="6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3" fontId="5" fillId="10" borderId="0" xfId="0" applyNumberFormat="1" applyFont="1" applyFill="1" applyBorder="1" applyAlignment="1">
      <alignment horizontal="center" vertical="center"/>
    </xf>
    <xf numFmtId="165" fontId="5" fillId="10" borderId="0" xfId="0" applyNumberFormat="1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167" fontId="1" fillId="7" borderId="3" xfId="0" applyNumberFormat="1" applyFont="1" applyFill="1" applyBorder="1" applyAlignment="1">
      <alignment horizontal="center" vertical="center"/>
    </xf>
    <xf numFmtId="167" fontId="1" fillId="11" borderId="6" xfId="0" applyNumberFormat="1" applyFont="1" applyFill="1" applyBorder="1" applyAlignment="1">
      <alignment horizontal="center" vertical="center"/>
    </xf>
    <xf numFmtId="167" fontId="1" fillId="7" borderId="6" xfId="0" applyNumberFormat="1" applyFont="1" applyFill="1" applyBorder="1" applyAlignment="1">
      <alignment horizontal="center" vertical="center"/>
    </xf>
    <xf numFmtId="168" fontId="1" fillId="7" borderId="6" xfId="0" applyNumberFormat="1" applyFont="1" applyFill="1" applyBorder="1" applyAlignment="1">
      <alignment horizontal="center" vertical="center"/>
    </xf>
    <xf numFmtId="167" fontId="1" fillId="11" borderId="8" xfId="0" applyNumberFormat="1" applyFont="1" applyFill="1" applyBorder="1" applyAlignment="1">
      <alignment horizontal="center" vertical="center"/>
    </xf>
    <xf numFmtId="49" fontId="1" fillId="7" borderId="3" xfId="0" applyNumberFormat="1" applyFont="1" applyFill="1" applyBorder="1" applyAlignment="1">
      <alignment horizontal="center" vertical="center"/>
    </xf>
    <xf numFmtId="49" fontId="1" fillId="11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11" borderId="8" xfId="0" applyNumberFormat="1" applyFont="1" applyFill="1" applyBorder="1" applyAlignment="1">
      <alignment horizontal="center" vertical="center"/>
    </xf>
    <xf numFmtId="4" fontId="5" fillId="10" borderId="0" xfId="0" applyNumberFormat="1" applyFont="1" applyFill="1" applyBorder="1" applyAlignment="1">
      <alignment horizontal="center" vertical="center"/>
    </xf>
    <xf numFmtId="166" fontId="1" fillId="7" borderId="3" xfId="0" applyNumberFormat="1" applyFont="1" applyFill="1" applyBorder="1" applyAlignment="1">
      <alignment horizontal="center" vertical="center"/>
    </xf>
    <xf numFmtId="166" fontId="1" fillId="11" borderId="6" xfId="0" applyNumberFormat="1" applyFont="1" applyFill="1" applyBorder="1" applyAlignment="1">
      <alignment horizontal="center" vertical="center"/>
    </xf>
    <xf numFmtId="166" fontId="1" fillId="7" borderId="6" xfId="0" applyNumberFormat="1" applyFont="1" applyFill="1" applyBorder="1" applyAlignment="1">
      <alignment horizontal="center" vertical="center"/>
    </xf>
    <xf numFmtId="166" fontId="1" fillId="11" borderId="8" xfId="0" applyNumberFormat="1" applyFont="1" applyFill="1" applyBorder="1" applyAlignment="1">
      <alignment horizontal="center" vertical="center"/>
    </xf>
    <xf numFmtId="169" fontId="1" fillId="7" borderId="6" xfId="0" applyNumberFormat="1" applyFont="1" applyFill="1" applyBorder="1" applyAlignment="1">
      <alignment horizontal="center" vertical="center"/>
    </xf>
    <xf numFmtId="169" fontId="1" fillId="11" borderId="6" xfId="0" applyNumberFormat="1" applyFont="1" applyFill="1" applyBorder="1" applyAlignment="1">
      <alignment horizontal="center" vertical="center"/>
    </xf>
    <xf numFmtId="166" fontId="3" fillId="11" borderId="6" xfId="0" applyNumberFormat="1" applyFont="1" applyFill="1" applyBorder="1" applyAlignment="1">
      <alignment horizontal="center" vertical="center"/>
    </xf>
    <xf numFmtId="166" fontId="3" fillId="11" borderId="8" xfId="0" applyNumberFormat="1" applyFont="1" applyFill="1" applyBorder="1" applyAlignment="1">
      <alignment horizontal="center" vertical="center"/>
    </xf>
    <xf numFmtId="171" fontId="1" fillId="7" borderId="3" xfId="0" applyNumberFormat="1" applyFont="1" applyFill="1" applyBorder="1" applyAlignment="1">
      <alignment horizontal="center" vertical="center"/>
    </xf>
    <xf numFmtId="171" fontId="1" fillId="11" borderId="6" xfId="0" applyNumberFormat="1" applyFont="1" applyFill="1" applyBorder="1" applyAlignment="1">
      <alignment horizontal="center" vertical="center"/>
    </xf>
    <xf numFmtId="171" fontId="1" fillId="7" borderId="6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4" fontId="5" fillId="2" borderId="22" xfId="0" applyNumberFormat="1" applyFont="1" applyFill="1" applyBorder="1" applyAlignment="1">
      <alignment horizontal="center" vertical="center"/>
    </xf>
    <xf numFmtId="170" fontId="5" fillId="2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2963"/>
      <color rgb="FFDF6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  <a:latin typeface="Roboto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Mergers &amp; Acquisitions - Transportation</a:t>
            </a:r>
          </a:p>
        </c:rich>
      </c:tx>
      <c:overlay val="0"/>
      <c:spPr>
        <a:noFill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Number</c:v>
          </c:tx>
          <c:spPr>
            <a:solidFill>
              <a:srgbClr val="152963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Annually!$A$9:$A$49</c:f>
              <c:strCach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 (Mar 31)</c:v>
                </c:pt>
                <c:pt idx="40">
                  <c:v>2024 e</c:v>
                </c:pt>
              </c:strCache>
            </c:strRef>
          </c:cat>
          <c:val>
            <c:numRef>
              <c:f>Annually!$B$9:$B$49</c:f>
              <c:numCache>
                <c:formatCode>#,##0</c:formatCode>
                <c:ptCount val="41"/>
                <c:pt idx="0">
                  <c:v>10</c:v>
                </c:pt>
                <c:pt idx="1">
                  <c:v>19</c:v>
                </c:pt>
                <c:pt idx="2">
                  <c:v>6</c:v>
                </c:pt>
                <c:pt idx="3">
                  <c:v>23</c:v>
                </c:pt>
                <c:pt idx="4">
                  <c:v>25</c:v>
                </c:pt>
                <c:pt idx="5">
                  <c:v>23</c:v>
                </c:pt>
                <c:pt idx="6">
                  <c:v>23</c:v>
                </c:pt>
                <c:pt idx="7">
                  <c:v>27</c:v>
                </c:pt>
                <c:pt idx="8">
                  <c:v>33</c:v>
                </c:pt>
                <c:pt idx="9">
                  <c:v>50</c:v>
                </c:pt>
                <c:pt idx="10">
                  <c:v>84</c:v>
                </c:pt>
                <c:pt idx="11">
                  <c:v>97</c:v>
                </c:pt>
                <c:pt idx="12">
                  <c:v>154</c:v>
                </c:pt>
                <c:pt idx="13">
                  <c:v>574</c:v>
                </c:pt>
                <c:pt idx="14">
                  <c:v>769</c:v>
                </c:pt>
                <c:pt idx="15">
                  <c:v>856</c:v>
                </c:pt>
                <c:pt idx="16">
                  <c:v>1269</c:v>
                </c:pt>
                <c:pt idx="17">
                  <c:v>1165</c:v>
                </c:pt>
                <c:pt idx="18">
                  <c:v>1210</c:v>
                </c:pt>
                <c:pt idx="19">
                  <c:v>1485</c:v>
                </c:pt>
                <c:pt idx="20">
                  <c:v>2780</c:v>
                </c:pt>
                <c:pt idx="21">
                  <c:v>3753</c:v>
                </c:pt>
                <c:pt idx="22">
                  <c:v>4417</c:v>
                </c:pt>
                <c:pt idx="23">
                  <c:v>3818</c:v>
                </c:pt>
                <c:pt idx="24">
                  <c:v>3038</c:v>
                </c:pt>
                <c:pt idx="25">
                  <c:v>3690</c:v>
                </c:pt>
                <c:pt idx="26">
                  <c:v>4218</c:v>
                </c:pt>
                <c:pt idx="27">
                  <c:v>4083</c:v>
                </c:pt>
                <c:pt idx="28">
                  <c:v>3933</c:v>
                </c:pt>
                <c:pt idx="29">
                  <c:v>3836</c:v>
                </c:pt>
                <c:pt idx="30">
                  <c:v>4265</c:v>
                </c:pt>
                <c:pt idx="31">
                  <c:v>3807</c:v>
                </c:pt>
                <c:pt idx="32">
                  <c:v>3841</c:v>
                </c:pt>
                <c:pt idx="33">
                  <c:v>3543</c:v>
                </c:pt>
                <c:pt idx="34">
                  <c:v>3293</c:v>
                </c:pt>
                <c:pt idx="35">
                  <c:v>2819</c:v>
                </c:pt>
                <c:pt idx="36">
                  <c:v>3186</c:v>
                </c:pt>
                <c:pt idx="37">
                  <c:v>2950</c:v>
                </c:pt>
                <c:pt idx="38">
                  <c:v>2464</c:v>
                </c:pt>
                <c:pt idx="39">
                  <c:v>538</c:v>
                </c:pt>
                <c:pt idx="40">
                  <c:v>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4-42B2-AF88-149B637F0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85489"/>
        <c:axId val="1612061123"/>
      </c:barChart>
      <c:lineChart>
        <c:grouping val="standard"/>
        <c:varyColors val="0"/>
        <c:ser>
          <c:idx val="1"/>
          <c:order val="1"/>
          <c:tx>
            <c:strRef>
              <c:f>Annually!$C$8</c:f>
              <c:strCache>
                <c:ptCount val="1"/>
                <c:pt idx="0">
                  <c:v>in bil. USD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Annually!$A$9:$A$49</c:f>
              <c:strCach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 (Mar 31)</c:v>
                </c:pt>
                <c:pt idx="40">
                  <c:v>2024 e</c:v>
                </c:pt>
              </c:strCache>
            </c:strRef>
          </c:cat>
          <c:val>
            <c:numRef>
              <c:f>Annually!$C$9:$C$49</c:f>
              <c:numCache>
                <c:formatCode>#,##0.00</c:formatCode>
                <c:ptCount val="41"/>
                <c:pt idx="0">
                  <c:v>0.18728</c:v>
                </c:pt>
                <c:pt idx="1">
                  <c:v>2.3041999999999998</c:v>
                </c:pt>
                <c:pt idx="2">
                  <c:v>0.621</c:v>
                </c:pt>
                <c:pt idx="3">
                  <c:v>3.8140999999999998</c:v>
                </c:pt>
                <c:pt idx="4">
                  <c:v>12.387899999999998</c:v>
                </c:pt>
                <c:pt idx="5">
                  <c:v>8.2216999999999985</c:v>
                </c:pt>
                <c:pt idx="6">
                  <c:v>2.1262499999999998</c:v>
                </c:pt>
                <c:pt idx="7">
                  <c:v>2.2159000000000004</c:v>
                </c:pt>
                <c:pt idx="8">
                  <c:v>3.8298999999999999</c:v>
                </c:pt>
                <c:pt idx="9">
                  <c:v>20.7117</c:v>
                </c:pt>
                <c:pt idx="10">
                  <c:v>14.330799999999998</c:v>
                </c:pt>
                <c:pt idx="11">
                  <c:v>22.649553999999995</c:v>
                </c:pt>
                <c:pt idx="12">
                  <c:v>35.046599999999998</c:v>
                </c:pt>
                <c:pt idx="13">
                  <c:v>192.85740000000001</c:v>
                </c:pt>
                <c:pt idx="14">
                  <c:v>230.01139999999998</c:v>
                </c:pt>
                <c:pt idx="15">
                  <c:v>290.05</c:v>
                </c:pt>
                <c:pt idx="16">
                  <c:v>177.27199999999999</c:v>
                </c:pt>
                <c:pt idx="17">
                  <c:v>109.29599999999999</c:v>
                </c:pt>
                <c:pt idx="18">
                  <c:v>130.30529999999999</c:v>
                </c:pt>
                <c:pt idx="19">
                  <c:v>157.40550000000002</c:v>
                </c:pt>
                <c:pt idx="20">
                  <c:v>505.92389999999995</c:v>
                </c:pt>
                <c:pt idx="21">
                  <c:v>727.63389999999981</c:v>
                </c:pt>
                <c:pt idx="22">
                  <c:v>838.06680000000006</c:v>
                </c:pt>
                <c:pt idx="23">
                  <c:v>365.66320000000002</c:v>
                </c:pt>
                <c:pt idx="24">
                  <c:v>312.3623</c:v>
                </c:pt>
                <c:pt idx="25">
                  <c:v>453.40812000000005</c:v>
                </c:pt>
                <c:pt idx="26">
                  <c:v>445.90579000000002</c:v>
                </c:pt>
                <c:pt idx="27">
                  <c:v>448.00009999999997</c:v>
                </c:pt>
                <c:pt idx="28">
                  <c:v>323.77480000000003</c:v>
                </c:pt>
                <c:pt idx="29">
                  <c:v>505.09740000000005</c:v>
                </c:pt>
                <c:pt idx="30">
                  <c:v>744.29100000000005</c:v>
                </c:pt>
                <c:pt idx="31">
                  <c:v>392.31939999999997</c:v>
                </c:pt>
                <c:pt idx="32">
                  <c:v>519.8549099999999</c:v>
                </c:pt>
                <c:pt idx="33">
                  <c:v>465.88040000000001</c:v>
                </c:pt>
                <c:pt idx="34">
                  <c:v>621.38250000000005</c:v>
                </c:pt>
                <c:pt idx="35">
                  <c:v>349.42720000000003</c:v>
                </c:pt>
                <c:pt idx="36">
                  <c:v>621.31140000000005</c:v>
                </c:pt>
                <c:pt idx="37">
                  <c:v>561.61739999999998</c:v>
                </c:pt>
                <c:pt idx="38">
                  <c:v>344.89109999999994</c:v>
                </c:pt>
                <c:pt idx="39">
                  <c:v>25.0749</c:v>
                </c:pt>
                <c:pt idx="40">
                  <c:v>100.2996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4-42B2-AF88-149B637F0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287656"/>
        <c:axId val="153682427"/>
      </c:lineChart>
      <c:catAx>
        <c:axId val="205854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200" b="1">
                <a:solidFill>
                  <a:srgbClr val="22222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12061123"/>
        <c:crosses val="autoZero"/>
        <c:auto val="1"/>
        <c:lblAlgn val="ctr"/>
        <c:lblOffset val="100"/>
        <c:noMultiLvlLbl val="1"/>
      </c:catAx>
      <c:valAx>
        <c:axId val="16120611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Transactions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585489"/>
        <c:crosses val="autoZero"/>
        <c:crossBetween val="between"/>
      </c:valAx>
      <c:catAx>
        <c:axId val="2093287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3682427"/>
        <c:crosses val="autoZero"/>
        <c:auto val="1"/>
        <c:lblAlgn val="ctr"/>
        <c:lblOffset val="100"/>
        <c:noMultiLvlLbl val="1"/>
      </c:catAx>
      <c:valAx>
        <c:axId val="153682427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sz="12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Value of Transactions (in bil. USD)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93287656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1000" b="0">
              <a:solidFill>
                <a:srgbClr val="222222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7620</xdr:colOff>
      <xdr:row>6</xdr:row>
      <xdr:rowOff>22860</xdr:rowOff>
    </xdr:from>
    <xdr:ext cx="14058900" cy="649986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1</xdr:rowOff>
    </xdr:from>
    <xdr:to>
      <xdr:col>1</xdr:col>
      <xdr:colOff>381000</xdr:colOff>
      <xdr:row>3</xdr:row>
      <xdr:rowOff>6104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B3DA35-F94E-4768-BE5C-7ADCFCCCA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49680" cy="60046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0.47867</cdr:x>
      <cdr:y>0.86523</cdr:y>
    </cdr:from>
    <cdr:to>
      <cdr:x>0.52357</cdr:x>
      <cdr:y>0.89705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6608AFB-3EBE-A12E-6947-74E80D78D769}"/>
            </a:ext>
          </a:extLst>
        </cdr:cNvPr>
        <cdr:cNvSpPr txBox="1"/>
      </cdr:nvSpPr>
      <cdr:spPr>
        <a:xfrm xmlns:a="http://schemas.openxmlformats.org/drawingml/2006/main">
          <a:off x="6729506" y="5623859"/>
          <a:ext cx="631379" cy="206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PH" sz="1100">
              <a:latin typeface="Arial" panose="020B0604020202020204" pitchFamily="34" charset="0"/>
              <a:cs typeface="Arial" panose="020B0604020202020204" pitchFamily="34" charset="0"/>
            </a:rPr>
            <a:t>Year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381000</xdr:colOff>
      <xdr:row>3</xdr:row>
      <xdr:rowOff>6104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E4DEE1-1CBA-42D3-A6CE-80A5E9A31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49680" cy="600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4"/>
  <sheetViews>
    <sheetView tabSelected="1" zoomScale="51" zoomScaleNormal="51" workbookViewId="0">
      <selection activeCell="P54" sqref="P54"/>
    </sheetView>
  </sheetViews>
  <sheetFormatPr defaultColWidth="12.6640625" defaultRowHeight="15.75" customHeight="1" x14ac:dyDescent="0.25"/>
  <cols>
    <col min="1" max="5" width="12.6640625" style="1"/>
    <col min="6" max="6" width="14.33203125" style="1" customWidth="1"/>
    <col min="7" max="7" width="15.44140625" style="1" customWidth="1"/>
    <col min="8" max="8" width="12.6640625" style="1"/>
    <col min="9" max="11" width="31.109375" style="44" customWidth="1"/>
    <col min="12" max="16384" width="12.6640625" style="1"/>
  </cols>
  <sheetData>
    <row r="1" spans="1:26" ht="15.75" customHeight="1" x14ac:dyDescent="0.25">
      <c r="A1" s="69" t="s">
        <v>430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6" ht="15.75" customHeight="1" x14ac:dyDescent="0.25">
      <c r="A2" s="7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1"/>
    </row>
    <row r="3" spans="1:26" ht="15.75" customHeight="1" x14ac:dyDescent="0.25">
      <c r="A3" s="7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1"/>
    </row>
    <row r="4" spans="1:26" ht="15.75" customHeight="1" x14ac:dyDescent="0.25">
      <c r="A4" s="72" t="s">
        <v>431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</row>
    <row r="7" spans="1:26" ht="19.8" customHeight="1" x14ac:dyDescent="0.25">
      <c r="A7" s="26" t="s">
        <v>0</v>
      </c>
      <c r="B7" s="27" t="s">
        <v>1</v>
      </c>
      <c r="C7" s="28" t="s">
        <v>2</v>
      </c>
      <c r="D7" s="29"/>
      <c r="E7" s="29"/>
      <c r="F7" s="29"/>
      <c r="G7" s="30" t="s">
        <v>3</v>
      </c>
      <c r="H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.2" x14ac:dyDescent="0.25">
      <c r="A8" s="31"/>
      <c r="B8" s="7"/>
      <c r="C8" s="8" t="s">
        <v>4</v>
      </c>
      <c r="D8" s="9" t="s">
        <v>5</v>
      </c>
      <c r="E8" s="9" t="s">
        <v>6</v>
      </c>
      <c r="F8" s="9" t="s">
        <v>7</v>
      </c>
      <c r="G8" s="32"/>
      <c r="H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.2" x14ac:dyDescent="0.25">
      <c r="A9" s="33">
        <v>1985</v>
      </c>
      <c r="B9" s="10">
        <f>SUM(Monthly!B10:B21)</f>
        <v>10</v>
      </c>
      <c r="C9" s="11">
        <f>SUM(Monthly!C10:C21)</f>
        <v>0.18728</v>
      </c>
      <c r="D9" s="11">
        <f ca="1">SUM(Monthly!D10:D21)</f>
        <v>0.23533744999999989</v>
      </c>
      <c r="E9" s="11">
        <f ca="1">SUM(Monthly!E10:E21)</f>
        <v>0.13442020599999979</v>
      </c>
      <c r="F9" s="11">
        <f ca="1">SUM(Monthly!F10:F21)</f>
        <v>43.53181249999998</v>
      </c>
      <c r="G9" s="34" t="s">
        <v>8</v>
      </c>
    </row>
    <row r="10" spans="1:26" ht="13.2" x14ac:dyDescent="0.25">
      <c r="A10" s="35">
        <v>1986</v>
      </c>
      <c r="B10" s="18">
        <f>SUM(Monthly!B23:B34)</f>
        <v>19</v>
      </c>
      <c r="C10" s="19">
        <f>SUM(Monthly!C23:C34)</f>
        <v>2.3041999999999998</v>
      </c>
      <c r="D10" s="19">
        <f ca="1">SUM(Monthly!D23:D34)</f>
        <v>2.2576769400000001</v>
      </c>
      <c r="E10" s="19">
        <f ca="1">SUM(Monthly!E23:E34)</f>
        <v>1.5782845499999991</v>
      </c>
      <c r="F10" s="19">
        <f ca="1">SUM(Monthly!F23:F34)</f>
        <v>377.38122799999996</v>
      </c>
      <c r="G10" s="36" t="s">
        <v>8</v>
      </c>
    </row>
    <row r="11" spans="1:26" ht="13.2" x14ac:dyDescent="0.25">
      <c r="A11" s="35">
        <v>1987</v>
      </c>
      <c r="B11" s="12">
        <f>SUM(Monthly!B36:B47)</f>
        <v>6</v>
      </c>
      <c r="C11" s="13">
        <f>SUM(Monthly!C36:C47)</f>
        <v>0.621</v>
      </c>
      <c r="D11" s="13">
        <f ca="1">SUM(Monthly!D36:D47)</f>
        <v>0.48680190000000001</v>
      </c>
      <c r="E11" s="13">
        <f ca="1">SUM(Monthly!E36:E47)</f>
        <v>0.33968700000000002</v>
      </c>
      <c r="F11" s="13">
        <f ca="1">SUM(Monthly!F36:F47)</f>
        <v>79.140239999999906</v>
      </c>
      <c r="G11" s="37" t="s">
        <v>8</v>
      </c>
    </row>
    <row r="12" spans="1:26" ht="13.2" x14ac:dyDescent="0.25">
      <c r="A12" s="35">
        <v>1988</v>
      </c>
      <c r="B12" s="20">
        <f>SUM(Monthly!B49:B60)</f>
        <v>23</v>
      </c>
      <c r="C12" s="21">
        <f>SUM(Monthly!C49:C60)</f>
        <v>3.8140999999999998</v>
      </c>
      <c r="D12" s="21">
        <f ca="1">SUM(Monthly!D49:D60)</f>
        <v>3.1919646850000003</v>
      </c>
      <c r="E12" s="21">
        <f ca="1">SUM(Monthly!E49:E60)</f>
        <v>2.122924934999999</v>
      </c>
      <c r="F12" s="21">
        <f ca="1">SUM(Monthly!F49:F60)</f>
        <v>480.36277899999999</v>
      </c>
      <c r="G12" s="38" t="s">
        <v>8</v>
      </c>
    </row>
    <row r="13" spans="1:26" ht="13.2" x14ac:dyDescent="0.25">
      <c r="A13" s="35">
        <v>1989</v>
      </c>
      <c r="B13" s="12">
        <f>SUM(Monthly!B62:B73)</f>
        <v>25</v>
      </c>
      <c r="C13" s="13">
        <f>SUM(Monthly!C62:C73)</f>
        <v>12.387899999999998</v>
      </c>
      <c r="D13" s="13">
        <f ca="1">SUM(Monthly!D62:D73)</f>
        <v>11.471674719999999</v>
      </c>
      <c r="E13" s="13">
        <f ca="1">SUM(Monthly!E62:E73)</f>
        <v>7.8304107549999973</v>
      </c>
      <c r="F13" s="13">
        <f ca="1">SUM(Monthly!F62:F73)</f>
        <v>1757.0046859999989</v>
      </c>
      <c r="G13" s="37" t="s">
        <v>8</v>
      </c>
    </row>
    <row r="14" spans="1:26" ht="13.2" x14ac:dyDescent="0.25">
      <c r="A14" s="35">
        <v>1990</v>
      </c>
      <c r="B14" s="20">
        <f>SUM(Monthly!B75:B86)</f>
        <v>23</v>
      </c>
      <c r="C14" s="21">
        <f>SUM(Monthly!C75:C86)</f>
        <v>8.2216999999999985</v>
      </c>
      <c r="D14" s="21">
        <f ca="1">SUM(Monthly!D75:D86)</f>
        <v>6.6034560649999801</v>
      </c>
      <c r="E14" s="21">
        <f ca="1">SUM(Monthly!E75:E86)</f>
        <v>4.8517822499999887</v>
      </c>
      <c r="F14" s="21">
        <f ca="1">SUM(Monthly!F75:F86)</f>
        <v>917.26778913999794</v>
      </c>
      <c r="G14" s="38" t="s">
        <v>8</v>
      </c>
    </row>
    <row r="15" spans="1:26" ht="13.2" x14ac:dyDescent="0.25">
      <c r="A15" s="35">
        <v>1991</v>
      </c>
      <c r="B15" s="12">
        <f>SUM(Monthly!B88:B99)</f>
        <v>23</v>
      </c>
      <c r="C15" s="13">
        <f>SUM(Monthly!C88:C99)</f>
        <v>2.1262499999999998</v>
      </c>
      <c r="D15" s="13">
        <f ca="1">SUM(Monthly!D88:D99)</f>
        <v>1.586580085</v>
      </c>
      <c r="E15" s="13">
        <f ca="1">SUM(Monthly!E88:E99)</f>
        <v>1.1414051349999979</v>
      </c>
      <c r="F15" s="13">
        <f ca="1">SUM(Monthly!F88:F99)</f>
        <v>278.30434499999888</v>
      </c>
      <c r="G15" s="37" t="s">
        <v>8</v>
      </c>
    </row>
    <row r="16" spans="1:26" ht="13.2" x14ac:dyDescent="0.25">
      <c r="A16" s="35">
        <v>1992</v>
      </c>
      <c r="B16" s="20">
        <f>SUM(Monthly!B101:B112)</f>
        <v>27</v>
      </c>
      <c r="C16" s="21">
        <f>SUM(Monthly!C101:C112)</f>
        <v>2.2159000000000004</v>
      </c>
      <c r="D16" s="21">
        <f ca="1">SUM(Monthly!D101:D112)</f>
        <v>1.664763384999999</v>
      </c>
      <c r="E16" s="21">
        <f ca="1">SUM(Monthly!E101:E112)</f>
        <v>1.2335776999999979</v>
      </c>
      <c r="F16" s="21">
        <f ca="1">SUM(Monthly!F101:F112)</f>
        <v>281.2164439999998</v>
      </c>
      <c r="G16" s="38" t="s">
        <v>8</v>
      </c>
    </row>
    <row r="17" spans="1:7" ht="13.2" x14ac:dyDescent="0.25">
      <c r="A17" s="35">
        <v>1993</v>
      </c>
      <c r="B17" s="12">
        <f>SUM(Monthly!B114:B125)</f>
        <v>33</v>
      </c>
      <c r="C17" s="13">
        <f>SUM(Monthly!C114:C125)</f>
        <v>3.8298999999999999</v>
      </c>
      <c r="D17" s="13">
        <f ca="1">SUM(Monthly!D114:D125)</f>
        <v>3.2112600649999985</v>
      </c>
      <c r="E17" s="13">
        <f ca="1">SUM(Monthly!E114:E125)</f>
        <v>2.6849790349999991</v>
      </c>
      <c r="F17" s="13">
        <f ca="1">SUM(Monthly!F114:F125)</f>
        <v>351.08073581999992</v>
      </c>
      <c r="G17" s="37" t="s">
        <v>8</v>
      </c>
    </row>
    <row r="18" spans="1:7" ht="13.2" x14ac:dyDescent="0.25">
      <c r="A18" s="35">
        <v>1994</v>
      </c>
      <c r="B18" s="20">
        <f>SUM(Monthly!B127:B138)</f>
        <v>50</v>
      </c>
      <c r="C18" s="21">
        <f>SUM(Monthly!C127:C138)</f>
        <v>20.7117</v>
      </c>
      <c r="D18" s="21">
        <f ca="1">SUM(Monthly!D127:D138)</f>
        <v>16.889838109999999</v>
      </c>
      <c r="E18" s="21">
        <f ca="1">SUM(Monthly!E127:E138)</f>
        <v>13.486246424999988</v>
      </c>
      <c r="F18" s="21">
        <f ca="1">SUM(Monthly!F127:F138)</f>
        <v>2089.4483024999899</v>
      </c>
      <c r="G18" s="38" t="s">
        <v>8</v>
      </c>
    </row>
    <row r="19" spans="1:7" ht="13.2" x14ac:dyDescent="0.25">
      <c r="A19" s="35">
        <v>1995</v>
      </c>
      <c r="B19" s="12">
        <f>SUM(Monthly!B140:B151)</f>
        <v>84</v>
      </c>
      <c r="C19" s="13">
        <f>SUM(Monthly!C140:C151)</f>
        <v>14.330799999999998</v>
      </c>
      <c r="D19" s="13">
        <f ca="1">SUM(Monthly!D140:D151)</f>
        <v>10.786700854999999</v>
      </c>
      <c r="E19" s="13">
        <f ca="1">SUM(Monthly!E140:E151)</f>
        <v>9.1301016399999995</v>
      </c>
      <c r="F19" s="13">
        <f ca="1">SUM(Monthly!F140:F151)</f>
        <v>1377.0156565</v>
      </c>
      <c r="G19" s="37" t="s">
        <v>8</v>
      </c>
    </row>
    <row r="20" spans="1:7" ht="13.2" x14ac:dyDescent="0.25">
      <c r="A20" s="35">
        <v>1996</v>
      </c>
      <c r="B20" s="20">
        <f>SUM(Monthly!B153:B164)</f>
        <v>97</v>
      </c>
      <c r="C20" s="21">
        <f>SUM(Monthly!C153:C164)</f>
        <v>22.649553999999995</v>
      </c>
      <c r="D20" s="21">
        <f ca="1">SUM(Monthly!D153:D164)</f>
        <v>17.776414293999999</v>
      </c>
      <c r="E20" s="21">
        <f ca="1">SUM(Monthly!E153:E164)</f>
        <v>14.64692059579998</v>
      </c>
      <c r="F20" s="21">
        <f ca="1">SUM(Monthly!F153:F164)</f>
        <v>2440.3545419900001</v>
      </c>
      <c r="G20" s="38" t="s">
        <v>8</v>
      </c>
    </row>
    <row r="21" spans="1:7" ht="13.2" x14ac:dyDescent="0.25">
      <c r="A21" s="35">
        <v>1997</v>
      </c>
      <c r="B21" s="12">
        <f>SUM(Monthly!B166:B177)</f>
        <v>154</v>
      </c>
      <c r="C21" s="13">
        <f>SUM(Monthly!C166:C177)</f>
        <v>35.046599999999998</v>
      </c>
      <c r="D21" s="13">
        <f ca="1">SUM(Monthly!D166:D177)</f>
        <v>30.904135544999988</v>
      </c>
      <c r="E21" s="13">
        <f ca="1">SUM(Monthly!E166:E177)</f>
        <v>21.325733719999985</v>
      </c>
      <c r="F21" s="13">
        <f ca="1">SUM(Monthly!F166:F177)</f>
        <v>4232.1585369999975</v>
      </c>
      <c r="G21" s="37" t="s">
        <v>8</v>
      </c>
    </row>
    <row r="22" spans="1:7" ht="13.2" x14ac:dyDescent="0.25">
      <c r="A22" s="35">
        <v>1998</v>
      </c>
      <c r="B22" s="20">
        <f>SUM(Monthly!B179:B190)</f>
        <v>574</v>
      </c>
      <c r="C22" s="21">
        <f>SUM(Monthly!C179:C190)</f>
        <v>192.85740000000001</v>
      </c>
      <c r="D22" s="21">
        <f ca="1">SUM(Monthly!D179:D190)</f>
        <v>174.37518878999992</v>
      </c>
      <c r="E22" s="21">
        <f ca="1">SUM(Monthly!E179:E190)</f>
        <v>117.48862627999996</v>
      </c>
      <c r="F22" s="21">
        <f ca="1">SUM(Monthly!F179:F190)</f>
        <v>26256.911547999996</v>
      </c>
      <c r="G22" s="38" t="s">
        <v>8</v>
      </c>
    </row>
    <row r="23" spans="1:7" ht="13.2" x14ac:dyDescent="0.25">
      <c r="A23" s="35">
        <v>1999</v>
      </c>
      <c r="B23" s="12">
        <f>SUM(Monthly!B192:B203)</f>
        <v>769</v>
      </c>
      <c r="C23" s="13">
        <f>SUM(Monthly!C192:C203)</f>
        <v>230.01139999999998</v>
      </c>
      <c r="D23" s="13">
        <f ca="1">SUM(Monthly!D192:D203)</f>
        <v>215.02551740499982</v>
      </c>
      <c r="E23" s="13">
        <f ca="1">SUM(Monthly!E192:E203)</f>
        <v>141.51068217499986</v>
      </c>
      <c r="F23" s="13">
        <f ca="1">SUM(Monthly!F192:F203)</f>
        <v>25850.226121499971</v>
      </c>
      <c r="G23" s="37" t="s">
        <v>8</v>
      </c>
    </row>
    <row r="24" spans="1:7" ht="13.2" x14ac:dyDescent="0.25">
      <c r="A24" s="39" t="s">
        <v>9</v>
      </c>
      <c r="B24" s="20">
        <f>SUM(Monthly!B205:B216)</f>
        <v>856</v>
      </c>
      <c r="C24" s="21">
        <f>SUM(Monthly!C205:C216)</f>
        <v>290.05</v>
      </c>
      <c r="D24" s="21">
        <f ca="1">SUM(Monthly!D205:D216)</f>
        <v>315.72084463499988</v>
      </c>
      <c r="E24" s="21">
        <f ca="1">SUM(Monthly!E205:E216)</f>
        <v>191.86504077000001</v>
      </c>
      <c r="F24" s="21">
        <f ca="1">SUM(Monthly!F205:F216)</f>
        <v>31259.753627999988</v>
      </c>
      <c r="G24" s="38" t="s">
        <v>8</v>
      </c>
    </row>
    <row r="25" spans="1:7" ht="13.2" x14ac:dyDescent="0.25">
      <c r="A25" s="39" t="s">
        <v>10</v>
      </c>
      <c r="B25" s="12">
        <f>SUM(Monthly!B218:B229)</f>
        <v>1269</v>
      </c>
      <c r="C25" s="13">
        <f>SUM(Monthly!C218:C229)</f>
        <v>177.27199999999999</v>
      </c>
      <c r="D25" s="13">
        <f ca="1">SUM(Monthly!D218:D229)</f>
        <v>197.847598995</v>
      </c>
      <c r="E25" s="13">
        <f ca="1">SUM(Monthly!E218:E229)</f>
        <v>123.24698732499991</v>
      </c>
      <c r="F25" s="13">
        <f ca="1">SUM(Monthly!F218:F229)</f>
        <v>21597.974861500006</v>
      </c>
      <c r="G25" s="37" t="s">
        <v>8</v>
      </c>
    </row>
    <row r="26" spans="1:7" ht="13.2" x14ac:dyDescent="0.25">
      <c r="A26" s="39" t="s">
        <v>11</v>
      </c>
      <c r="B26" s="20">
        <f>SUM(Monthly!B231:B242)</f>
        <v>1165</v>
      </c>
      <c r="C26" s="21">
        <f>SUM(Monthly!C231:C242)</f>
        <v>109.29599999999999</v>
      </c>
      <c r="D26" s="21">
        <f ca="1">SUM(Monthly!D231:D242)</f>
        <v>116.94653399999977</v>
      </c>
      <c r="E26" s="21">
        <f ca="1">SUM(Monthly!E231:E242)</f>
        <v>73.283908399999973</v>
      </c>
      <c r="F26" s="21">
        <f ca="1">SUM(Monthly!F231:F242)</f>
        <v>13752.951613499989</v>
      </c>
      <c r="G26" s="38" t="s">
        <v>8</v>
      </c>
    </row>
    <row r="27" spans="1:7" ht="13.2" x14ac:dyDescent="0.25">
      <c r="A27" s="39" t="s">
        <v>12</v>
      </c>
      <c r="B27" s="12">
        <f>SUM(Monthly!B244:B255)</f>
        <v>1210</v>
      </c>
      <c r="C27" s="13">
        <f>SUM(Monthly!C244:C255)</f>
        <v>130.30529999999999</v>
      </c>
      <c r="D27" s="13">
        <f ca="1">SUM(Monthly!D244:D255)</f>
        <v>115.42747140499968</v>
      </c>
      <c r="E27" s="13">
        <f ca="1">SUM(Monthly!E244:E255)</f>
        <v>82.672650754999907</v>
      </c>
      <c r="F27" s="13">
        <f ca="1">SUM(Monthly!F244:F255)</f>
        <v>13759.22076167999</v>
      </c>
      <c r="G27" s="37" t="s">
        <v>8</v>
      </c>
    </row>
    <row r="28" spans="1:7" ht="13.2" x14ac:dyDescent="0.25">
      <c r="A28" s="39" t="s">
        <v>13</v>
      </c>
      <c r="B28" s="20">
        <f>SUM(Monthly!B257:B268)</f>
        <v>1485</v>
      </c>
      <c r="C28" s="21">
        <f>SUM(Monthly!C257:C268)</f>
        <v>157.40550000000002</v>
      </c>
      <c r="D28" s="21">
        <f ca="1">SUM(Monthly!D257:D268)</f>
        <v>126.07542944849989</v>
      </c>
      <c r="E28" s="21">
        <f ca="1">SUM(Monthly!E257:E268)</f>
        <v>86.036376549999972</v>
      </c>
      <c r="F28" s="21">
        <f ca="1">SUM(Monthly!F257:F268)</f>
        <v>17048.11908462139</v>
      </c>
      <c r="G28" s="38" t="s">
        <v>8</v>
      </c>
    </row>
    <row r="29" spans="1:7" ht="13.2" x14ac:dyDescent="0.25">
      <c r="A29" s="39" t="s">
        <v>14</v>
      </c>
      <c r="B29" s="12">
        <f>SUM(Monthly!B270:B281)</f>
        <v>2780</v>
      </c>
      <c r="C29" s="13">
        <f>SUM(Monthly!C270:C281)</f>
        <v>505.92389999999995</v>
      </c>
      <c r="D29" s="13">
        <f ca="1">SUM(Monthly!D270:D281)</f>
        <v>407.30976920849969</v>
      </c>
      <c r="E29" s="13">
        <f ca="1">SUM(Monthly!E270:E281)</f>
        <v>278.26389105299978</v>
      </c>
      <c r="F29" s="13">
        <f ca="1">SUM(Monthly!F270:F281)</f>
        <v>55724.229416588729</v>
      </c>
      <c r="G29" s="37" t="s">
        <v>8</v>
      </c>
    </row>
    <row r="30" spans="1:7" ht="13.2" x14ac:dyDescent="0.25">
      <c r="A30" s="39" t="s">
        <v>15</v>
      </c>
      <c r="B30" s="20">
        <f>SUM(Monthly!B283:B294)</f>
        <v>3753</v>
      </c>
      <c r="C30" s="21">
        <f>SUM(Monthly!C283:C294)</f>
        <v>727.63389999999981</v>
      </c>
      <c r="D30" s="21">
        <f ca="1">SUM(Monthly!D283:D294)</f>
        <v>581.20100542049965</v>
      </c>
      <c r="E30" s="21">
        <f ca="1">SUM(Monthly!E283:E294)</f>
        <v>396.02957714549967</v>
      </c>
      <c r="F30" s="21">
        <f ca="1">SUM(Monthly!F283:F294)</f>
        <v>85211.735734215879</v>
      </c>
      <c r="G30" s="38" t="s">
        <v>8</v>
      </c>
    </row>
    <row r="31" spans="1:7" ht="13.2" x14ac:dyDescent="0.25">
      <c r="A31" s="39" t="s">
        <v>16</v>
      </c>
      <c r="B31" s="12">
        <f>SUM(Monthly!B296:B307)</f>
        <v>4417</v>
      </c>
      <c r="C31" s="13">
        <f>SUM(Monthly!C296:C307)</f>
        <v>838.06680000000006</v>
      </c>
      <c r="D31" s="13">
        <f ca="1">SUM(Monthly!D296:D307)</f>
        <v>603.35654284499958</v>
      </c>
      <c r="E31" s="13">
        <f ca="1">SUM(Monthly!E296:E307)</f>
        <v>416.13051814449949</v>
      </c>
      <c r="F31" s="13">
        <f ca="1">SUM(Monthly!F296:F307)</f>
        <v>97619.460346399748</v>
      </c>
      <c r="G31" s="37" t="s">
        <v>8</v>
      </c>
    </row>
    <row r="32" spans="1:7" ht="13.2" x14ac:dyDescent="0.25">
      <c r="A32" s="39" t="s">
        <v>17</v>
      </c>
      <c r="B32" s="20">
        <f>SUM(Monthly!B309:B320)</f>
        <v>3818</v>
      </c>
      <c r="C32" s="21">
        <f>SUM(Monthly!C309:C320)</f>
        <v>365.66320000000002</v>
      </c>
      <c r="D32" s="21">
        <f ca="1">SUM(Monthly!D309:D320)</f>
        <v>244.36985162899978</v>
      </c>
      <c r="E32" s="21">
        <f ca="1">SUM(Monthly!E309:E320)</f>
        <v>195.08447843499982</v>
      </c>
      <c r="F32" s="21">
        <f ca="1">SUM(Monthly!F309:F320)</f>
        <v>37968.95285042371</v>
      </c>
      <c r="G32" s="38" t="s">
        <v>8</v>
      </c>
    </row>
    <row r="33" spans="1:11" ht="13.2" x14ac:dyDescent="0.25">
      <c r="A33" s="39" t="s">
        <v>18</v>
      </c>
      <c r="B33" s="12">
        <f>SUM(Monthly!B322:B333)</f>
        <v>3038</v>
      </c>
      <c r="C33" s="13">
        <f>SUM(Monthly!C322:C333)</f>
        <v>312.3623</v>
      </c>
      <c r="D33" s="13">
        <f ca="1">SUM(Monthly!D322:D333)</f>
        <v>222.17253344299971</v>
      </c>
      <c r="E33" s="13">
        <f ca="1">SUM(Monthly!E322:E333)</f>
        <v>198.3177630379997</v>
      </c>
      <c r="F33" s="13">
        <f ca="1">SUM(Monthly!F322:F333)</f>
        <v>28912.54692619247</v>
      </c>
      <c r="G33" s="37" t="s">
        <v>8</v>
      </c>
    </row>
    <row r="34" spans="1:11" ht="13.2" x14ac:dyDescent="0.25">
      <c r="A34" s="39" t="s">
        <v>19</v>
      </c>
      <c r="B34" s="20">
        <f>SUM(Monthly!B335:B346)</f>
        <v>3690</v>
      </c>
      <c r="C34" s="21">
        <f>SUM(Monthly!C335:C346)</f>
        <v>453.40812000000005</v>
      </c>
      <c r="D34" s="21">
        <f ca="1">SUM(Monthly!D335:D346)</f>
        <v>342.1201090928995</v>
      </c>
      <c r="E34" s="21">
        <f ca="1">SUM(Monthly!E335:E346)</f>
        <v>292.34449262594973</v>
      </c>
      <c r="F34" s="21">
        <f ca="1">SUM(Monthly!F335:F346)</f>
        <v>39210.543092657055</v>
      </c>
      <c r="G34" s="38" t="s">
        <v>8</v>
      </c>
    </row>
    <row r="35" spans="1:11" ht="13.2" x14ac:dyDescent="0.25">
      <c r="A35" s="39" t="s">
        <v>20</v>
      </c>
      <c r="B35" s="12">
        <f>SUM(Monthly!B348:B359)</f>
        <v>4218</v>
      </c>
      <c r="C35" s="13">
        <f>SUM(Monthly!C348:C359)</f>
        <v>445.90579000000002</v>
      </c>
      <c r="D35" s="13">
        <f ca="1">SUM(Monthly!D348:D359)</f>
        <v>322.0124573023997</v>
      </c>
      <c r="E35" s="13">
        <f ca="1">SUM(Monthly!E348:E359)</f>
        <v>278.42555655649988</v>
      </c>
      <c r="F35" s="13">
        <f ca="1">SUM(Monthly!F348:F359)</f>
        <v>35556.658920879527</v>
      </c>
      <c r="G35" s="37" t="s">
        <v>8</v>
      </c>
    </row>
    <row r="36" spans="1:11" ht="13.2" x14ac:dyDescent="0.25">
      <c r="A36" s="39" t="s">
        <v>21</v>
      </c>
      <c r="B36" s="20">
        <f>SUM(Monthly!B361:B372)</f>
        <v>4083</v>
      </c>
      <c r="C36" s="21">
        <f>SUM(Monthly!C361:C372)</f>
        <v>448.00009999999997</v>
      </c>
      <c r="D36" s="21">
        <f ca="1">SUM(Monthly!D361:D372)</f>
        <v>346.43222595499986</v>
      </c>
      <c r="E36" s="21">
        <f ca="1">SUM(Monthly!E361:E372)</f>
        <v>282.0522014539996</v>
      </c>
      <c r="F36" s="21">
        <f ca="1">SUM(Monthly!F361:F372)</f>
        <v>35712.698695207633</v>
      </c>
      <c r="G36" s="38" t="s">
        <v>8</v>
      </c>
    </row>
    <row r="37" spans="1:11" ht="13.2" x14ac:dyDescent="0.25">
      <c r="A37" s="39" t="s">
        <v>22</v>
      </c>
      <c r="B37" s="12">
        <f>SUM(Monthly!B374:B385)</f>
        <v>3933</v>
      </c>
      <c r="C37" s="13">
        <f>SUM(Monthly!C374:C385)</f>
        <v>323.77480000000003</v>
      </c>
      <c r="D37" s="13">
        <f ca="1">SUM(Monthly!D374:D385)</f>
        <v>243.58787324699929</v>
      </c>
      <c r="E37" s="13">
        <f ca="1">SUM(Monthly!E374:E385)</f>
        <v>206.87409064949941</v>
      </c>
      <c r="F37" s="13">
        <f ca="1">SUM(Monthly!F374:F385)</f>
        <v>31661.42902652713</v>
      </c>
      <c r="G37" s="37" t="s">
        <v>8</v>
      </c>
    </row>
    <row r="38" spans="1:11" ht="13.2" x14ac:dyDescent="0.25">
      <c r="A38" s="39" t="s">
        <v>23</v>
      </c>
      <c r="B38" s="20">
        <f>SUM(Monthly!B387:B398)</f>
        <v>3836</v>
      </c>
      <c r="C38" s="21">
        <f>SUM(Monthly!C387:C398)</f>
        <v>505.09740000000005</v>
      </c>
      <c r="D38" s="21">
        <f ca="1">SUM(Monthly!D387:D398)</f>
        <v>380.49173481499975</v>
      </c>
      <c r="E38" s="21">
        <f ca="1">SUM(Monthly!E387:E398)</f>
        <v>306.51148923649993</v>
      </c>
      <c r="F38" s="21">
        <f ca="1">SUM(Monthly!F387:F398)</f>
        <v>53484.54073780933</v>
      </c>
      <c r="G38" s="38" t="s">
        <v>8</v>
      </c>
    </row>
    <row r="39" spans="1:11" ht="13.2" x14ac:dyDescent="0.25">
      <c r="A39" s="39" t="s">
        <v>24</v>
      </c>
      <c r="B39" s="12">
        <f>SUM(Monthly!B400:B411)</f>
        <v>4265</v>
      </c>
      <c r="C39" s="13">
        <f>SUM(Monthly!C400:C411)</f>
        <v>744.29100000000005</v>
      </c>
      <c r="D39" s="13">
        <f ca="1">SUM(Monthly!D400:D411)</f>
        <v>673.45033124749989</v>
      </c>
      <c r="E39" s="13">
        <f ca="1">SUM(Monthly!E400:E411)</f>
        <v>488.27847887749977</v>
      </c>
      <c r="F39" s="13">
        <f ca="1">SUM(Monthly!F400:F411)</f>
        <v>90314.815030521248</v>
      </c>
      <c r="G39" s="37" t="s">
        <v>8</v>
      </c>
    </row>
    <row r="40" spans="1:11" ht="13.2" x14ac:dyDescent="0.25">
      <c r="A40" s="40" t="s">
        <v>25</v>
      </c>
      <c r="B40" s="20">
        <f>SUM(Monthly!B413:B424)</f>
        <v>3807</v>
      </c>
      <c r="C40" s="21">
        <f>SUM(Monthly!C413:C424)</f>
        <v>392.31939999999997</v>
      </c>
      <c r="D40" s="21">
        <f ca="1">SUM(Monthly!D413:D424)</f>
        <v>355.45241584799965</v>
      </c>
      <c r="E40" s="21">
        <f ca="1">SUM(Monthly!E413:E424)</f>
        <v>292.37186680099956</v>
      </c>
      <c r="F40" s="21">
        <f ca="1">SUM(Monthly!F413:F424)</f>
        <v>42761.511654186419</v>
      </c>
      <c r="G40" s="38" t="s">
        <v>8</v>
      </c>
    </row>
    <row r="41" spans="1:11" ht="13.2" x14ac:dyDescent="0.25">
      <c r="A41" s="35">
        <v>2017</v>
      </c>
      <c r="B41" s="12">
        <f>SUM(Monthly!B426:B437)</f>
        <v>3841</v>
      </c>
      <c r="C41" s="13">
        <f>SUM(Monthly!C426:C437)</f>
        <v>519.8549099999999</v>
      </c>
      <c r="D41" s="13">
        <f ca="1">SUM(Monthly!D426:D437)</f>
        <v>461.68087102269988</v>
      </c>
      <c r="E41" s="13">
        <f ca="1">SUM(Monthly!E426:E437)</f>
        <v>403.50010758459939</v>
      </c>
      <c r="F41" s="13">
        <f ca="1">SUM(Monthly!F426:F437)</f>
        <v>58301.118572458246</v>
      </c>
      <c r="G41" s="37" t="s">
        <v>8</v>
      </c>
    </row>
    <row r="42" spans="1:11" ht="13.2" x14ac:dyDescent="0.25">
      <c r="A42" s="35">
        <v>2018</v>
      </c>
      <c r="B42" s="20">
        <f>SUM(Monthly!B439:B450)</f>
        <v>3543</v>
      </c>
      <c r="C42" s="21">
        <f>SUM(Monthly!C439:C450)</f>
        <v>465.88040000000001</v>
      </c>
      <c r="D42" s="21">
        <f ca="1">SUM(Monthly!D439:D450)</f>
        <v>394.08098739349987</v>
      </c>
      <c r="E42" s="21">
        <f ca="1">SUM(Monthly!E439:E450)</f>
        <v>347.93279993049981</v>
      </c>
      <c r="F42" s="21">
        <f ca="1">SUM(Monthly!F439:F450)</f>
        <v>51265.304831700007</v>
      </c>
      <c r="G42" s="38" t="s">
        <v>8</v>
      </c>
    </row>
    <row r="43" spans="1:11" ht="13.2" x14ac:dyDescent="0.25">
      <c r="A43" s="35">
        <v>2019</v>
      </c>
      <c r="B43" s="12">
        <f>SUM(Monthly!B452:B463)</f>
        <v>3293</v>
      </c>
      <c r="C43" s="13">
        <f>SUM(Monthly!C452:C463)</f>
        <v>621.38250000000005</v>
      </c>
      <c r="D43" s="13">
        <f ca="1">SUM(Monthly!D452:D463)</f>
        <v>554.86583846799965</v>
      </c>
      <c r="E43" s="13">
        <f ca="1">SUM(Monthly!E452:E463)</f>
        <v>481.03136442949972</v>
      </c>
      <c r="F43" s="13">
        <f ca="1">SUM(Monthly!F452:F463)</f>
        <v>68218.135741249862</v>
      </c>
      <c r="G43" s="37" t="s">
        <v>8</v>
      </c>
    </row>
    <row r="44" spans="1:11" ht="13.2" x14ac:dyDescent="0.25">
      <c r="A44" s="35">
        <v>2020</v>
      </c>
      <c r="B44" s="22">
        <f>SUM(Monthly!B465:B476)</f>
        <v>2819</v>
      </c>
      <c r="C44" s="23">
        <f>SUM(Monthly!C465:C476)</f>
        <v>349.42720000000003</v>
      </c>
      <c r="D44" s="23">
        <f ca="1">SUM(Monthly!D465:D476)</f>
        <v>301.59144760549987</v>
      </c>
      <c r="E44" s="23">
        <f ca="1">SUM(Monthly!E465:E476)</f>
        <v>269.97451965209984</v>
      </c>
      <c r="F44" s="23">
        <f ca="1">SUM(Monthly!F465:F476)</f>
        <v>37089.354240049986</v>
      </c>
      <c r="G44" s="38" t="s">
        <v>8</v>
      </c>
    </row>
    <row r="45" spans="1:11" ht="13.2" x14ac:dyDescent="0.25">
      <c r="A45" s="35">
        <v>2021</v>
      </c>
      <c r="B45" s="14">
        <f>SUM(Monthly!B478:B489)</f>
        <v>3186</v>
      </c>
      <c r="C45" s="15">
        <f>SUM(Monthly!C478:C489)</f>
        <v>621.31140000000005</v>
      </c>
      <c r="D45" s="15">
        <f ca="1">SUM(Monthly!D478:D489)</f>
        <v>634.74170808849965</v>
      </c>
      <c r="E45" s="15">
        <f ca="1">SUM(Monthly!E478:E489)</f>
        <v>546.45839670749865</v>
      </c>
      <c r="F45" s="15">
        <f ca="1">SUM(Monthly!F478:F489)</f>
        <v>82623.559621049993</v>
      </c>
      <c r="G45" s="37" t="s">
        <v>8</v>
      </c>
    </row>
    <row r="46" spans="1:11" ht="13.2" x14ac:dyDescent="0.25">
      <c r="A46" s="35">
        <v>2022</v>
      </c>
      <c r="B46" s="22">
        <f>SUM(Monthly!B491:B502)</f>
        <v>2950</v>
      </c>
      <c r="C46" s="23">
        <f>SUM(Monthly!C491:C502)</f>
        <v>561.61739999999998</v>
      </c>
      <c r="D46" s="23">
        <f ca="1">SUM(Monthly!D491:D502)</f>
        <v>523.31015621099982</v>
      </c>
      <c r="E46" s="23">
        <f ca="1">SUM(Monthly!E491:E502)</f>
        <v>443.06544534349968</v>
      </c>
      <c r="F46" s="23">
        <f ca="1">SUM(Monthly!F491:F502)</f>
        <v>71503.851230300002</v>
      </c>
      <c r="G46" s="38" t="s">
        <v>8</v>
      </c>
    </row>
    <row r="47" spans="1:11" ht="13.2" x14ac:dyDescent="0.25">
      <c r="A47" s="35">
        <v>2023</v>
      </c>
      <c r="B47" s="16">
        <f>SUM(Monthly!B504:B515)</f>
        <v>2464</v>
      </c>
      <c r="C47" s="17">
        <f>SUM(Monthly!C504:C515)</f>
        <v>344.89109999999994</v>
      </c>
      <c r="D47" s="17">
        <f ca="1">SUM(Monthly!D504:D515)</f>
        <v>361.90818030249977</v>
      </c>
      <c r="E47" s="17">
        <f ca="1">SUM(Monthly!E504:E515)</f>
        <v>314.66679307194948</v>
      </c>
      <c r="F47" s="17">
        <f ca="1">SUM(Monthly!F504:F515)</f>
        <v>55302.41033338118</v>
      </c>
      <c r="G47" s="37" t="s">
        <v>8</v>
      </c>
    </row>
    <row r="48" spans="1:11" ht="13.2" x14ac:dyDescent="0.25">
      <c r="A48" s="35" t="s">
        <v>29</v>
      </c>
      <c r="B48" s="24">
        <f>SUM(Monthly!B517:B519)</f>
        <v>538</v>
      </c>
      <c r="C48" s="25">
        <f>SUM(Monthly!C517:C519)</f>
        <v>25.0749</v>
      </c>
      <c r="D48" s="25">
        <f ca="1">SUM(Monthly!D517:D519)</f>
        <v>23.094804026999988</v>
      </c>
      <c r="E48" s="25">
        <f ca="1">SUM(Monthly!E517:E519)</f>
        <v>19.77014492499999</v>
      </c>
      <c r="F48" s="25">
        <f ca="1">SUM(Monthly!F517:F519)</f>
        <v>3728.5856763828897</v>
      </c>
      <c r="G48" s="41" t="s">
        <v>8</v>
      </c>
      <c r="I48" s="45" t="s">
        <v>26</v>
      </c>
      <c r="J48" s="46" t="s">
        <v>1</v>
      </c>
      <c r="K48" s="47" t="s">
        <v>27</v>
      </c>
    </row>
    <row r="49" spans="1:11" ht="13.2" x14ac:dyDescent="0.25">
      <c r="A49" s="42" t="s">
        <v>31</v>
      </c>
      <c r="B49" s="16">
        <f t="shared" ref="B49:F49" si="0">B48/3*12</f>
        <v>2152</v>
      </c>
      <c r="C49" s="17">
        <f t="shared" si="0"/>
        <v>100.2996</v>
      </c>
      <c r="D49" s="17">
        <f t="shared" ca="1" si="0"/>
        <v>92.379216107999952</v>
      </c>
      <c r="E49" s="17">
        <f t="shared" ca="1" si="0"/>
        <v>79.080579699999959</v>
      </c>
      <c r="F49" s="17">
        <f t="shared" ca="1" si="0"/>
        <v>14914.342705531559</v>
      </c>
      <c r="G49" s="43"/>
      <c r="I49" s="48"/>
      <c r="J49" s="49">
        <f>SUM(B9:B48)</f>
        <v>76174</v>
      </c>
      <c r="K49" s="50">
        <f>SUM(C9:C48)</f>
        <v>10987.531004</v>
      </c>
    </row>
    <row r="50" spans="1:11" ht="13.2" x14ac:dyDescent="0.25">
      <c r="C50" s="5"/>
      <c r="D50" s="5"/>
      <c r="E50" s="5"/>
      <c r="F50" s="5"/>
    </row>
    <row r="51" spans="1:11" ht="13.2" x14ac:dyDescent="0.25">
      <c r="D51" s="5"/>
      <c r="E51" s="5"/>
      <c r="F51" s="5"/>
      <c r="I51" s="55" t="s">
        <v>28</v>
      </c>
      <c r="J51" s="51">
        <f>SUM(Monthly!B478:B489)</f>
        <v>3186</v>
      </c>
      <c r="K51" s="52">
        <f>SUM(Monthly!C478:C489)</f>
        <v>621.31140000000005</v>
      </c>
    </row>
    <row r="52" spans="1:11" ht="13.2" x14ac:dyDescent="0.25">
      <c r="C52" s="5"/>
      <c r="D52" s="5"/>
      <c r="E52" s="5"/>
      <c r="F52" s="5"/>
      <c r="I52" s="35" t="s">
        <v>30</v>
      </c>
      <c r="J52" s="53">
        <f>SUM(Monthly!B491:B502)</f>
        <v>2950</v>
      </c>
      <c r="K52" s="54">
        <f>SUM(Monthly!C491:C502)</f>
        <v>561.61739999999998</v>
      </c>
    </row>
    <row r="53" spans="1:11" ht="13.2" x14ac:dyDescent="0.25">
      <c r="C53" s="5"/>
      <c r="D53" s="5"/>
      <c r="E53" s="5"/>
      <c r="F53" s="5"/>
      <c r="I53" s="56" t="s">
        <v>32</v>
      </c>
      <c r="J53" s="51">
        <f>SUM(Monthly!B504:B515)</f>
        <v>2464</v>
      </c>
      <c r="K53" s="52">
        <f>SUM(Monthly!C504:C515)</f>
        <v>344.89109999999994</v>
      </c>
    </row>
    <row r="54" spans="1:11" ht="13.2" x14ac:dyDescent="0.25">
      <c r="C54" s="5"/>
      <c r="D54" s="5"/>
      <c r="E54" s="5"/>
      <c r="F54" s="5"/>
    </row>
    <row r="55" spans="1:11" ht="13.2" x14ac:dyDescent="0.25">
      <c r="C55" s="5"/>
      <c r="D55" s="5"/>
      <c r="E55" s="5"/>
      <c r="F55" s="5"/>
    </row>
    <row r="56" spans="1:11" ht="13.2" x14ac:dyDescent="0.25">
      <c r="D56" s="5"/>
      <c r="E56" s="5"/>
      <c r="F56" s="5"/>
    </row>
    <row r="57" spans="1:11" ht="13.2" x14ac:dyDescent="0.25">
      <c r="C57" s="5"/>
      <c r="D57" s="5"/>
      <c r="E57" s="5"/>
      <c r="F57" s="5"/>
      <c r="I57" s="58" t="s">
        <v>33</v>
      </c>
      <c r="J57" s="59"/>
      <c r="K57" s="60"/>
    </row>
    <row r="58" spans="1:11" ht="13.2" x14ac:dyDescent="0.25">
      <c r="C58" s="5"/>
      <c r="D58" s="5"/>
      <c r="E58" s="5"/>
      <c r="F58" s="5"/>
      <c r="I58" s="33" t="s">
        <v>34</v>
      </c>
      <c r="J58" s="57">
        <f t="shared" ref="J58:K58" si="1">((J53-J52)/J52)*100</f>
        <v>-16.474576271186443</v>
      </c>
      <c r="K58" s="61">
        <f t="shared" si="1"/>
        <v>-38.589669764505167</v>
      </c>
    </row>
    <row r="59" spans="1:11" ht="13.2" x14ac:dyDescent="0.25">
      <c r="C59" s="5"/>
      <c r="D59" s="5"/>
      <c r="E59" s="5"/>
      <c r="F59" s="5"/>
      <c r="I59" s="56" t="s">
        <v>35</v>
      </c>
      <c r="J59" s="62">
        <f t="shared" ref="J59:K59" si="2">((J52-J51)/J51)*100</f>
        <v>-7.4074074074074066</v>
      </c>
      <c r="K59" s="63">
        <f t="shared" si="2"/>
        <v>-9.6077425909133591</v>
      </c>
    </row>
    <row r="60" spans="1:11" ht="13.2" x14ac:dyDescent="0.25">
      <c r="C60" s="5"/>
      <c r="D60" s="5"/>
      <c r="E60" s="5"/>
      <c r="F60" s="5"/>
    </row>
    <row r="61" spans="1:11" ht="13.2" x14ac:dyDescent="0.25">
      <c r="C61" s="5"/>
      <c r="D61" s="5"/>
      <c r="E61" s="5"/>
      <c r="F61" s="5"/>
    </row>
    <row r="62" spans="1:11" ht="13.2" x14ac:dyDescent="0.25">
      <c r="C62" s="5"/>
      <c r="D62" s="5"/>
      <c r="E62" s="5"/>
      <c r="F62" s="5"/>
      <c r="I62" s="55" t="s">
        <v>36</v>
      </c>
      <c r="J62" s="64">
        <f>SUM(Monthly!B504:B506)</f>
        <v>683</v>
      </c>
      <c r="K62" s="65">
        <f>SUM(Monthly!C504:C506)</f>
        <v>57.681799999999996</v>
      </c>
    </row>
    <row r="63" spans="1:11" ht="13.2" x14ac:dyDescent="0.25">
      <c r="C63" s="5"/>
      <c r="D63" s="5"/>
      <c r="E63" s="5"/>
      <c r="F63" s="5"/>
      <c r="I63" s="56" t="s">
        <v>37</v>
      </c>
      <c r="J63" s="66">
        <f>SUM(Monthly!B517:B519)</f>
        <v>538</v>
      </c>
      <c r="K63" s="67">
        <f>SUM(Monthly!C517:C519)</f>
        <v>25.0749</v>
      </c>
    </row>
    <row r="64" spans="1:11" ht="13.2" x14ac:dyDescent="0.25">
      <c r="C64" s="5"/>
      <c r="D64" s="5"/>
      <c r="E64" s="5"/>
      <c r="F64" s="5"/>
    </row>
    <row r="65" spans="3:11" ht="13.2" x14ac:dyDescent="0.25">
      <c r="C65" s="5"/>
      <c r="D65" s="5"/>
      <c r="E65" s="5"/>
      <c r="F65" s="5"/>
      <c r="I65" s="58" t="s">
        <v>33</v>
      </c>
      <c r="J65" s="59"/>
      <c r="K65" s="60"/>
    </row>
    <row r="66" spans="3:11" ht="13.2" x14ac:dyDescent="0.25">
      <c r="C66" s="5"/>
      <c r="D66" s="5"/>
      <c r="E66" s="5"/>
      <c r="F66" s="5"/>
      <c r="I66" s="68" t="s">
        <v>38</v>
      </c>
      <c r="J66" s="57">
        <f t="shared" ref="J66:K66" si="3">((J63-J62)/J62)*100</f>
        <v>-21.229868228404101</v>
      </c>
      <c r="K66" s="61">
        <f t="shared" si="3"/>
        <v>-56.52892246774546</v>
      </c>
    </row>
    <row r="67" spans="3:11" ht="13.2" x14ac:dyDescent="0.25">
      <c r="C67" s="5"/>
      <c r="D67" s="5"/>
      <c r="E67" s="5"/>
      <c r="F67" s="5"/>
    </row>
    <row r="68" spans="3:11" ht="13.2" x14ac:dyDescent="0.25">
      <c r="C68" s="5"/>
      <c r="D68" s="5"/>
      <c r="E68" s="5"/>
      <c r="F68" s="5"/>
    </row>
    <row r="69" spans="3:11" ht="13.2" x14ac:dyDescent="0.25">
      <c r="C69" s="5"/>
      <c r="D69" s="5"/>
      <c r="E69" s="5"/>
      <c r="F69" s="5"/>
    </row>
    <row r="70" spans="3:11" ht="13.2" x14ac:dyDescent="0.25">
      <c r="C70" s="5"/>
      <c r="D70" s="5"/>
      <c r="E70" s="5"/>
      <c r="F70" s="5"/>
    </row>
    <row r="71" spans="3:11" ht="13.2" x14ac:dyDescent="0.25">
      <c r="C71" s="5"/>
      <c r="D71" s="5"/>
      <c r="E71" s="5"/>
      <c r="F71" s="5"/>
    </row>
    <row r="72" spans="3:11" ht="13.2" x14ac:dyDescent="0.25">
      <c r="C72" s="5"/>
      <c r="D72" s="5"/>
      <c r="E72" s="5"/>
      <c r="F72" s="5"/>
    </row>
    <row r="73" spans="3:11" ht="13.2" x14ac:dyDescent="0.25">
      <c r="C73" s="5"/>
      <c r="D73" s="5"/>
      <c r="E73" s="5"/>
      <c r="F73" s="5"/>
    </row>
    <row r="74" spans="3:11" ht="13.2" x14ac:dyDescent="0.25">
      <c r="C74" s="5"/>
      <c r="D74" s="5"/>
      <c r="E74" s="5"/>
      <c r="F74" s="5"/>
    </row>
    <row r="75" spans="3:11" ht="13.2" x14ac:dyDescent="0.25">
      <c r="C75" s="5"/>
      <c r="D75" s="5"/>
      <c r="E75" s="5"/>
      <c r="F75" s="5"/>
    </row>
    <row r="76" spans="3:11" ht="13.2" x14ac:dyDescent="0.25">
      <c r="C76" s="5"/>
      <c r="D76" s="5"/>
      <c r="E76" s="5"/>
      <c r="F76" s="5"/>
    </row>
    <row r="77" spans="3:11" ht="13.2" x14ac:dyDescent="0.25">
      <c r="C77" s="5"/>
      <c r="D77" s="5"/>
      <c r="E77" s="5"/>
      <c r="F77" s="5"/>
    </row>
    <row r="78" spans="3:11" ht="13.2" x14ac:dyDescent="0.25">
      <c r="C78" s="5"/>
      <c r="D78" s="5"/>
      <c r="E78" s="5"/>
      <c r="F78" s="5"/>
    </row>
    <row r="79" spans="3:11" ht="13.2" x14ac:dyDescent="0.25">
      <c r="C79" s="5"/>
      <c r="D79" s="5"/>
      <c r="E79" s="5"/>
      <c r="F79" s="5"/>
    </row>
    <row r="80" spans="3:11" ht="13.2" x14ac:dyDescent="0.25">
      <c r="C80" s="5"/>
      <c r="D80" s="5"/>
      <c r="E80" s="5"/>
      <c r="F80" s="5"/>
    </row>
    <row r="81" spans="3:6" ht="13.2" x14ac:dyDescent="0.25">
      <c r="C81" s="5"/>
      <c r="D81" s="5"/>
      <c r="E81" s="5"/>
      <c r="F81" s="5"/>
    </row>
    <row r="82" spans="3:6" ht="13.2" x14ac:dyDescent="0.25">
      <c r="C82" s="5"/>
      <c r="D82" s="5"/>
      <c r="E82" s="5"/>
      <c r="F82" s="5"/>
    </row>
    <row r="83" spans="3:6" ht="13.2" x14ac:dyDescent="0.25">
      <c r="C83" s="5"/>
      <c r="D83" s="5"/>
      <c r="E83" s="5"/>
      <c r="F83" s="5"/>
    </row>
    <row r="84" spans="3:6" ht="13.2" x14ac:dyDescent="0.25">
      <c r="C84" s="5"/>
      <c r="D84" s="5"/>
      <c r="E84" s="5"/>
      <c r="F84" s="5"/>
    </row>
    <row r="85" spans="3:6" ht="13.2" x14ac:dyDescent="0.25">
      <c r="C85" s="5"/>
      <c r="D85" s="5"/>
      <c r="E85" s="5"/>
      <c r="F85" s="5"/>
    </row>
    <row r="86" spans="3:6" ht="13.2" x14ac:dyDescent="0.25">
      <c r="C86" s="5"/>
      <c r="D86" s="5"/>
      <c r="E86" s="5"/>
      <c r="F86" s="5"/>
    </row>
    <row r="87" spans="3:6" ht="13.2" x14ac:dyDescent="0.25">
      <c r="C87" s="5"/>
      <c r="D87" s="5"/>
      <c r="E87" s="5"/>
      <c r="F87" s="5"/>
    </row>
    <row r="88" spans="3:6" ht="13.2" x14ac:dyDescent="0.25">
      <c r="C88" s="5"/>
      <c r="D88" s="5"/>
      <c r="E88" s="5"/>
      <c r="F88" s="5"/>
    </row>
    <row r="89" spans="3:6" ht="13.2" x14ac:dyDescent="0.25">
      <c r="C89" s="5"/>
      <c r="D89" s="5"/>
      <c r="E89" s="5"/>
      <c r="F89" s="5"/>
    </row>
    <row r="90" spans="3:6" ht="13.2" x14ac:dyDescent="0.25">
      <c r="C90" s="5"/>
      <c r="D90" s="5"/>
      <c r="E90" s="5"/>
      <c r="F90" s="5"/>
    </row>
    <row r="91" spans="3:6" ht="13.2" x14ac:dyDescent="0.25">
      <c r="C91" s="5"/>
      <c r="D91" s="5"/>
      <c r="E91" s="5"/>
      <c r="F91" s="5"/>
    </row>
    <row r="92" spans="3:6" ht="13.2" x14ac:dyDescent="0.25">
      <c r="C92" s="5"/>
      <c r="D92" s="5"/>
      <c r="E92" s="5"/>
      <c r="F92" s="5"/>
    </row>
    <row r="93" spans="3:6" ht="13.2" x14ac:dyDescent="0.25">
      <c r="C93" s="5"/>
      <c r="D93" s="5"/>
      <c r="E93" s="5"/>
      <c r="F93" s="5"/>
    </row>
    <row r="94" spans="3:6" ht="13.2" x14ac:dyDescent="0.25">
      <c r="C94" s="5"/>
      <c r="D94" s="5"/>
      <c r="E94" s="5"/>
      <c r="F94" s="5"/>
    </row>
    <row r="95" spans="3:6" ht="13.2" x14ac:dyDescent="0.25">
      <c r="C95" s="5"/>
      <c r="D95" s="5"/>
      <c r="E95" s="5"/>
      <c r="F95" s="5"/>
    </row>
    <row r="96" spans="3:6" ht="13.2" x14ac:dyDescent="0.25">
      <c r="C96" s="5"/>
      <c r="D96" s="5"/>
      <c r="E96" s="5"/>
      <c r="F96" s="5"/>
    </row>
    <row r="97" spans="3:6" ht="13.2" x14ac:dyDescent="0.25">
      <c r="C97" s="5"/>
      <c r="D97" s="5"/>
      <c r="E97" s="5"/>
      <c r="F97" s="5"/>
    </row>
    <row r="98" spans="3:6" ht="13.2" x14ac:dyDescent="0.25">
      <c r="C98" s="5"/>
      <c r="D98" s="5"/>
      <c r="E98" s="5"/>
      <c r="F98" s="5"/>
    </row>
    <row r="99" spans="3:6" ht="13.2" x14ac:dyDescent="0.25">
      <c r="C99" s="5"/>
      <c r="D99" s="5"/>
      <c r="E99" s="5"/>
      <c r="F99" s="5"/>
    </row>
    <row r="100" spans="3:6" ht="13.2" x14ac:dyDescent="0.25">
      <c r="C100" s="5"/>
      <c r="D100" s="5"/>
      <c r="E100" s="5"/>
      <c r="F100" s="5"/>
    </row>
    <row r="101" spans="3:6" ht="13.2" x14ac:dyDescent="0.25">
      <c r="C101" s="5"/>
      <c r="D101" s="5"/>
      <c r="E101" s="5"/>
      <c r="F101" s="5"/>
    </row>
    <row r="102" spans="3:6" ht="13.2" x14ac:dyDescent="0.25">
      <c r="C102" s="5"/>
      <c r="D102" s="5"/>
      <c r="E102" s="5"/>
      <c r="F102" s="5"/>
    </row>
    <row r="103" spans="3:6" ht="13.2" x14ac:dyDescent="0.25">
      <c r="C103" s="5"/>
      <c r="D103" s="5"/>
      <c r="E103" s="5"/>
      <c r="F103" s="5"/>
    </row>
    <row r="104" spans="3:6" ht="13.2" x14ac:dyDescent="0.25">
      <c r="C104" s="5"/>
      <c r="D104" s="5"/>
      <c r="E104" s="5"/>
      <c r="F104" s="5"/>
    </row>
    <row r="105" spans="3:6" ht="13.2" x14ac:dyDescent="0.25">
      <c r="C105" s="5"/>
      <c r="D105" s="5"/>
      <c r="E105" s="5"/>
      <c r="F105" s="5"/>
    </row>
    <row r="106" spans="3:6" ht="13.2" x14ac:dyDescent="0.25">
      <c r="C106" s="5"/>
      <c r="D106" s="5"/>
      <c r="E106" s="5"/>
      <c r="F106" s="5"/>
    </row>
    <row r="107" spans="3:6" ht="13.2" x14ac:dyDescent="0.25">
      <c r="C107" s="5"/>
      <c r="D107" s="5"/>
      <c r="E107" s="5"/>
      <c r="F107" s="5"/>
    </row>
    <row r="108" spans="3:6" ht="13.2" x14ac:dyDescent="0.25">
      <c r="C108" s="5"/>
      <c r="D108" s="5"/>
      <c r="E108" s="5"/>
      <c r="F108" s="5"/>
    </row>
    <row r="109" spans="3:6" ht="13.2" x14ac:dyDescent="0.25">
      <c r="C109" s="5"/>
      <c r="D109" s="5"/>
      <c r="E109" s="5"/>
      <c r="F109" s="5"/>
    </row>
    <row r="110" spans="3:6" ht="13.2" x14ac:dyDescent="0.25">
      <c r="C110" s="5"/>
      <c r="D110" s="5"/>
      <c r="E110" s="5"/>
      <c r="F110" s="5"/>
    </row>
    <row r="111" spans="3:6" ht="13.2" x14ac:dyDescent="0.25">
      <c r="C111" s="5"/>
      <c r="D111" s="5"/>
      <c r="E111" s="5"/>
      <c r="F111" s="5"/>
    </row>
    <row r="112" spans="3:6" ht="13.2" x14ac:dyDescent="0.25">
      <c r="C112" s="5"/>
      <c r="D112" s="5"/>
      <c r="E112" s="5"/>
      <c r="F112" s="5"/>
    </row>
    <row r="113" spans="3:6" ht="13.2" x14ac:dyDescent="0.25">
      <c r="C113" s="5"/>
      <c r="D113" s="5"/>
      <c r="E113" s="5"/>
      <c r="F113" s="5"/>
    </row>
    <row r="114" spans="3:6" ht="13.2" x14ac:dyDescent="0.25">
      <c r="C114" s="5"/>
      <c r="D114" s="5"/>
      <c r="E114" s="5"/>
      <c r="F114" s="5"/>
    </row>
    <row r="115" spans="3:6" ht="13.2" x14ac:dyDescent="0.25">
      <c r="C115" s="5"/>
      <c r="D115" s="5"/>
      <c r="E115" s="5"/>
      <c r="F115" s="5"/>
    </row>
    <row r="116" spans="3:6" ht="13.2" x14ac:dyDescent="0.25">
      <c r="C116" s="5"/>
      <c r="D116" s="5"/>
      <c r="E116" s="5"/>
      <c r="F116" s="5"/>
    </row>
    <row r="117" spans="3:6" ht="13.2" x14ac:dyDescent="0.25">
      <c r="C117" s="5"/>
      <c r="D117" s="5"/>
      <c r="E117" s="5"/>
      <c r="F117" s="5"/>
    </row>
    <row r="118" spans="3:6" ht="13.2" x14ac:dyDescent="0.25">
      <c r="C118" s="5"/>
      <c r="D118" s="5"/>
      <c r="E118" s="5"/>
      <c r="F118" s="5"/>
    </row>
    <row r="119" spans="3:6" ht="13.2" x14ac:dyDescent="0.25">
      <c r="C119" s="5"/>
      <c r="D119" s="5"/>
      <c r="E119" s="5"/>
      <c r="F119" s="5"/>
    </row>
    <row r="120" spans="3:6" ht="13.2" x14ac:dyDescent="0.25">
      <c r="C120" s="5"/>
      <c r="D120" s="5"/>
      <c r="E120" s="5"/>
      <c r="F120" s="5"/>
    </row>
    <row r="121" spans="3:6" ht="13.2" x14ac:dyDescent="0.25">
      <c r="C121" s="5"/>
      <c r="D121" s="5"/>
      <c r="E121" s="5"/>
      <c r="F121" s="5"/>
    </row>
    <row r="122" spans="3:6" ht="13.2" x14ac:dyDescent="0.25">
      <c r="C122" s="5"/>
      <c r="D122" s="5"/>
      <c r="E122" s="5"/>
      <c r="F122" s="5"/>
    </row>
    <row r="123" spans="3:6" ht="13.2" x14ac:dyDescent="0.25">
      <c r="C123" s="5"/>
      <c r="D123" s="5"/>
      <c r="E123" s="5"/>
      <c r="F123" s="5"/>
    </row>
    <row r="124" spans="3:6" ht="13.2" x14ac:dyDescent="0.25">
      <c r="C124" s="5"/>
      <c r="D124" s="5"/>
      <c r="E124" s="5"/>
      <c r="F124" s="5"/>
    </row>
    <row r="125" spans="3:6" ht="13.2" x14ac:dyDescent="0.25">
      <c r="C125" s="5"/>
      <c r="D125" s="5"/>
      <c r="E125" s="5"/>
      <c r="F125" s="5"/>
    </row>
    <row r="126" spans="3:6" ht="13.2" x14ac:dyDescent="0.25">
      <c r="C126" s="5"/>
      <c r="D126" s="5"/>
      <c r="E126" s="5"/>
      <c r="F126" s="5"/>
    </row>
    <row r="127" spans="3:6" ht="13.2" x14ac:dyDescent="0.25">
      <c r="C127" s="5"/>
      <c r="D127" s="5"/>
      <c r="E127" s="5"/>
      <c r="F127" s="5"/>
    </row>
    <row r="128" spans="3:6" ht="13.2" x14ac:dyDescent="0.25">
      <c r="C128" s="5"/>
      <c r="D128" s="5"/>
      <c r="E128" s="5"/>
      <c r="F128" s="5"/>
    </row>
    <row r="129" spans="3:6" ht="13.2" x14ac:dyDescent="0.25">
      <c r="C129" s="5"/>
      <c r="D129" s="5"/>
      <c r="E129" s="5"/>
      <c r="F129" s="5"/>
    </row>
    <row r="130" spans="3:6" ht="13.2" x14ac:dyDescent="0.25">
      <c r="C130" s="5"/>
      <c r="D130" s="5"/>
      <c r="E130" s="5"/>
      <c r="F130" s="5"/>
    </row>
    <row r="131" spans="3:6" ht="13.2" x14ac:dyDescent="0.25">
      <c r="C131" s="5"/>
      <c r="D131" s="5"/>
      <c r="E131" s="5"/>
      <c r="F131" s="5"/>
    </row>
    <row r="132" spans="3:6" ht="13.2" x14ac:dyDescent="0.25">
      <c r="C132" s="5"/>
      <c r="D132" s="5"/>
      <c r="E132" s="5"/>
      <c r="F132" s="5"/>
    </row>
    <row r="133" spans="3:6" ht="13.2" x14ac:dyDescent="0.25">
      <c r="C133" s="5"/>
      <c r="D133" s="5"/>
      <c r="E133" s="5"/>
      <c r="F133" s="5"/>
    </row>
    <row r="134" spans="3:6" ht="13.2" x14ac:dyDescent="0.25">
      <c r="C134" s="5"/>
      <c r="D134" s="5"/>
      <c r="E134" s="5"/>
      <c r="F134" s="5"/>
    </row>
    <row r="135" spans="3:6" ht="13.2" x14ac:dyDescent="0.25">
      <c r="C135" s="5"/>
      <c r="D135" s="5"/>
      <c r="E135" s="5"/>
      <c r="F135" s="5"/>
    </row>
    <row r="136" spans="3:6" ht="13.2" x14ac:dyDescent="0.25">
      <c r="C136" s="5"/>
      <c r="D136" s="5"/>
      <c r="E136" s="5"/>
      <c r="F136" s="5"/>
    </row>
    <row r="137" spans="3:6" ht="13.2" x14ac:dyDescent="0.25">
      <c r="C137" s="5"/>
      <c r="D137" s="5"/>
      <c r="E137" s="5"/>
      <c r="F137" s="5"/>
    </row>
    <row r="138" spans="3:6" ht="13.2" x14ac:dyDescent="0.25">
      <c r="C138" s="5"/>
      <c r="D138" s="5"/>
      <c r="E138" s="5"/>
      <c r="F138" s="5"/>
    </row>
    <row r="139" spans="3:6" ht="13.2" x14ac:dyDescent="0.25">
      <c r="C139" s="5"/>
      <c r="D139" s="5"/>
      <c r="E139" s="5"/>
      <c r="F139" s="5"/>
    </row>
    <row r="140" spans="3:6" ht="13.2" x14ac:dyDescent="0.25">
      <c r="C140" s="5"/>
      <c r="D140" s="5"/>
      <c r="E140" s="5"/>
      <c r="F140" s="5"/>
    </row>
    <row r="141" spans="3:6" ht="13.2" x14ac:dyDescent="0.25">
      <c r="C141" s="5"/>
      <c r="D141" s="5"/>
      <c r="E141" s="5"/>
      <c r="F141" s="5"/>
    </row>
    <row r="142" spans="3:6" ht="13.2" x14ac:dyDescent="0.25">
      <c r="C142" s="5"/>
      <c r="D142" s="5"/>
      <c r="E142" s="5"/>
      <c r="F142" s="5"/>
    </row>
    <row r="143" spans="3:6" ht="13.2" x14ac:dyDescent="0.25">
      <c r="C143" s="5"/>
      <c r="D143" s="5"/>
      <c r="E143" s="5"/>
      <c r="F143" s="5"/>
    </row>
    <row r="144" spans="3:6" ht="13.2" x14ac:dyDescent="0.25">
      <c r="C144" s="5"/>
      <c r="D144" s="5"/>
      <c r="E144" s="5"/>
      <c r="F144" s="5"/>
    </row>
    <row r="145" spans="3:6" ht="13.2" x14ac:dyDescent="0.25">
      <c r="C145" s="5"/>
      <c r="D145" s="5"/>
      <c r="E145" s="5"/>
      <c r="F145" s="5"/>
    </row>
    <row r="146" spans="3:6" ht="13.2" x14ac:dyDescent="0.25">
      <c r="C146" s="5"/>
      <c r="D146" s="5"/>
      <c r="E146" s="5"/>
      <c r="F146" s="5"/>
    </row>
    <row r="147" spans="3:6" ht="13.2" x14ac:dyDescent="0.25">
      <c r="C147" s="5"/>
      <c r="D147" s="5"/>
      <c r="E147" s="5"/>
      <c r="F147" s="5"/>
    </row>
    <row r="148" spans="3:6" ht="13.2" x14ac:dyDescent="0.25">
      <c r="C148" s="5"/>
      <c r="D148" s="5"/>
      <c r="E148" s="5"/>
      <c r="F148" s="5"/>
    </row>
    <row r="149" spans="3:6" ht="13.2" x14ac:dyDescent="0.25">
      <c r="C149" s="5"/>
      <c r="D149" s="5"/>
      <c r="E149" s="5"/>
      <c r="F149" s="5"/>
    </row>
    <row r="150" spans="3:6" ht="13.2" x14ac:dyDescent="0.25">
      <c r="C150" s="5"/>
      <c r="D150" s="5"/>
      <c r="E150" s="5"/>
      <c r="F150" s="5"/>
    </row>
    <row r="151" spans="3:6" ht="13.2" x14ac:dyDescent="0.25">
      <c r="C151" s="5"/>
      <c r="D151" s="5"/>
      <c r="E151" s="5"/>
      <c r="F151" s="5"/>
    </row>
    <row r="152" spans="3:6" ht="13.2" x14ac:dyDescent="0.25">
      <c r="C152" s="5"/>
      <c r="D152" s="5"/>
      <c r="E152" s="5"/>
      <c r="F152" s="5"/>
    </row>
    <row r="153" spans="3:6" ht="13.2" x14ac:dyDescent="0.25">
      <c r="C153" s="5"/>
      <c r="D153" s="5"/>
      <c r="E153" s="5"/>
      <c r="F153" s="5"/>
    </row>
    <row r="154" spans="3:6" ht="13.2" x14ac:dyDescent="0.25">
      <c r="C154" s="5"/>
      <c r="D154" s="5"/>
      <c r="E154" s="5"/>
      <c r="F154" s="5"/>
    </row>
    <row r="155" spans="3:6" ht="13.2" x14ac:dyDescent="0.25">
      <c r="C155" s="5"/>
      <c r="D155" s="5"/>
      <c r="E155" s="5"/>
      <c r="F155" s="5"/>
    </row>
    <row r="156" spans="3:6" ht="13.2" x14ac:dyDescent="0.25">
      <c r="C156" s="5"/>
      <c r="D156" s="5"/>
      <c r="E156" s="5"/>
      <c r="F156" s="5"/>
    </row>
    <row r="157" spans="3:6" ht="13.2" x14ac:dyDescent="0.25">
      <c r="C157" s="5"/>
      <c r="D157" s="5"/>
      <c r="E157" s="5"/>
      <c r="F157" s="5"/>
    </row>
    <row r="158" spans="3:6" ht="13.2" x14ac:dyDescent="0.25">
      <c r="C158" s="5"/>
      <c r="D158" s="5"/>
      <c r="E158" s="5"/>
      <c r="F158" s="5"/>
    </row>
    <row r="159" spans="3:6" ht="13.2" x14ac:dyDescent="0.25">
      <c r="C159" s="5"/>
      <c r="D159" s="5"/>
      <c r="E159" s="5"/>
      <c r="F159" s="5"/>
    </row>
    <row r="160" spans="3:6" ht="13.2" x14ac:dyDescent="0.25">
      <c r="C160" s="5"/>
      <c r="D160" s="5"/>
      <c r="E160" s="5"/>
      <c r="F160" s="5"/>
    </row>
    <row r="161" spans="3:6" ht="13.2" x14ac:dyDescent="0.25">
      <c r="C161" s="5"/>
      <c r="D161" s="5"/>
      <c r="E161" s="5"/>
      <c r="F161" s="5"/>
    </row>
    <row r="162" spans="3:6" ht="13.2" x14ac:dyDescent="0.25">
      <c r="C162" s="5"/>
      <c r="D162" s="5"/>
      <c r="E162" s="5"/>
      <c r="F162" s="5"/>
    </row>
    <row r="163" spans="3:6" ht="13.2" x14ac:dyDescent="0.25">
      <c r="C163" s="5"/>
      <c r="D163" s="5"/>
      <c r="E163" s="5"/>
      <c r="F163" s="5"/>
    </row>
    <row r="164" spans="3:6" ht="13.2" x14ac:dyDescent="0.25">
      <c r="C164" s="5"/>
      <c r="D164" s="5"/>
      <c r="E164" s="5"/>
      <c r="F164" s="5"/>
    </row>
    <row r="165" spans="3:6" ht="13.2" x14ac:dyDescent="0.25">
      <c r="C165" s="5"/>
      <c r="D165" s="5"/>
      <c r="E165" s="5"/>
      <c r="F165" s="5"/>
    </row>
    <row r="166" spans="3:6" ht="13.2" x14ac:dyDescent="0.25">
      <c r="C166" s="5"/>
      <c r="D166" s="5"/>
      <c r="E166" s="5"/>
      <c r="F166" s="5"/>
    </row>
    <row r="167" spans="3:6" ht="13.2" x14ac:dyDescent="0.25">
      <c r="C167" s="5"/>
      <c r="D167" s="5"/>
      <c r="E167" s="5"/>
      <c r="F167" s="5"/>
    </row>
    <row r="168" spans="3:6" ht="13.2" x14ac:dyDescent="0.25">
      <c r="C168" s="5"/>
      <c r="D168" s="5"/>
      <c r="E168" s="5"/>
      <c r="F168" s="5"/>
    </row>
    <row r="169" spans="3:6" ht="13.2" x14ac:dyDescent="0.25">
      <c r="C169" s="5"/>
      <c r="D169" s="5"/>
      <c r="E169" s="5"/>
      <c r="F169" s="5"/>
    </row>
    <row r="170" spans="3:6" ht="13.2" x14ac:dyDescent="0.25">
      <c r="C170" s="5"/>
      <c r="D170" s="5"/>
      <c r="E170" s="5"/>
      <c r="F170" s="5"/>
    </row>
    <row r="171" spans="3:6" ht="13.2" x14ac:dyDescent="0.25">
      <c r="C171" s="5"/>
      <c r="D171" s="5"/>
      <c r="E171" s="5"/>
      <c r="F171" s="5"/>
    </row>
    <row r="172" spans="3:6" ht="13.2" x14ac:dyDescent="0.25">
      <c r="C172" s="5"/>
      <c r="D172" s="5"/>
      <c r="E172" s="5"/>
      <c r="F172" s="5"/>
    </row>
    <row r="173" spans="3:6" ht="13.2" x14ac:dyDescent="0.25">
      <c r="C173" s="5"/>
      <c r="D173" s="5"/>
      <c r="E173" s="5"/>
      <c r="F173" s="5"/>
    </row>
    <row r="174" spans="3:6" ht="13.2" x14ac:dyDescent="0.25">
      <c r="C174" s="5"/>
      <c r="D174" s="5"/>
      <c r="E174" s="5"/>
      <c r="F174" s="5"/>
    </row>
    <row r="175" spans="3:6" ht="13.2" x14ac:dyDescent="0.25">
      <c r="C175" s="5"/>
      <c r="D175" s="5"/>
      <c r="E175" s="5"/>
      <c r="F175" s="5"/>
    </row>
    <row r="176" spans="3:6" ht="13.2" x14ac:dyDescent="0.25">
      <c r="C176" s="5"/>
      <c r="D176" s="5"/>
      <c r="E176" s="5"/>
      <c r="F176" s="5"/>
    </row>
    <row r="177" spans="3:6" ht="13.2" x14ac:dyDescent="0.25">
      <c r="C177" s="5"/>
      <c r="D177" s="5"/>
      <c r="E177" s="5"/>
      <c r="F177" s="5"/>
    </row>
    <row r="178" spans="3:6" ht="13.2" x14ac:dyDescent="0.25">
      <c r="C178" s="5"/>
      <c r="D178" s="5"/>
      <c r="E178" s="5"/>
      <c r="F178" s="5"/>
    </row>
    <row r="179" spans="3:6" ht="13.2" x14ac:dyDescent="0.25">
      <c r="C179" s="5"/>
      <c r="D179" s="5"/>
      <c r="E179" s="5"/>
      <c r="F179" s="5"/>
    </row>
    <row r="180" spans="3:6" ht="13.2" x14ac:dyDescent="0.25">
      <c r="C180" s="5"/>
      <c r="D180" s="5"/>
      <c r="E180" s="5"/>
      <c r="F180" s="5"/>
    </row>
    <row r="181" spans="3:6" ht="13.2" x14ac:dyDescent="0.25">
      <c r="C181" s="5"/>
      <c r="D181" s="5"/>
      <c r="E181" s="5"/>
      <c r="F181" s="5"/>
    </row>
    <row r="182" spans="3:6" ht="13.2" x14ac:dyDescent="0.25">
      <c r="C182" s="5"/>
      <c r="D182" s="5"/>
      <c r="E182" s="5"/>
      <c r="F182" s="5"/>
    </row>
    <row r="183" spans="3:6" ht="13.2" x14ac:dyDescent="0.25">
      <c r="C183" s="5"/>
      <c r="D183" s="5"/>
      <c r="E183" s="5"/>
      <c r="F183" s="5"/>
    </row>
    <row r="184" spans="3:6" ht="13.2" x14ac:dyDescent="0.25">
      <c r="C184" s="5"/>
      <c r="D184" s="5"/>
      <c r="E184" s="5"/>
      <c r="F184" s="5"/>
    </row>
    <row r="185" spans="3:6" ht="13.2" x14ac:dyDescent="0.25">
      <c r="C185" s="5"/>
      <c r="D185" s="5"/>
      <c r="E185" s="5"/>
      <c r="F185" s="5"/>
    </row>
    <row r="186" spans="3:6" ht="13.2" x14ac:dyDescent="0.25">
      <c r="C186" s="5"/>
      <c r="D186" s="5"/>
      <c r="E186" s="5"/>
      <c r="F186" s="5"/>
    </row>
    <row r="187" spans="3:6" ht="13.2" x14ac:dyDescent="0.25">
      <c r="C187" s="5"/>
      <c r="D187" s="5"/>
      <c r="E187" s="5"/>
      <c r="F187" s="5"/>
    </row>
    <row r="188" spans="3:6" ht="13.2" x14ac:dyDescent="0.25">
      <c r="C188" s="5"/>
      <c r="D188" s="5"/>
      <c r="E188" s="5"/>
      <c r="F188" s="5"/>
    </row>
    <row r="189" spans="3:6" ht="13.2" x14ac:dyDescent="0.25">
      <c r="C189" s="5"/>
      <c r="D189" s="5"/>
      <c r="E189" s="5"/>
      <c r="F189" s="5"/>
    </row>
    <row r="190" spans="3:6" ht="13.2" x14ac:dyDescent="0.25">
      <c r="C190" s="5"/>
      <c r="D190" s="5"/>
      <c r="E190" s="5"/>
      <c r="F190" s="5"/>
    </row>
    <row r="191" spans="3:6" ht="13.2" x14ac:dyDescent="0.25">
      <c r="C191" s="5"/>
      <c r="D191" s="5"/>
      <c r="E191" s="5"/>
      <c r="F191" s="5"/>
    </row>
    <row r="192" spans="3:6" ht="13.2" x14ac:dyDescent="0.25">
      <c r="C192" s="5"/>
      <c r="D192" s="5"/>
      <c r="E192" s="5"/>
      <c r="F192" s="5"/>
    </row>
    <row r="193" spans="3:6" ht="13.2" x14ac:dyDescent="0.25">
      <c r="C193" s="5"/>
      <c r="D193" s="5"/>
      <c r="E193" s="5"/>
      <c r="F193" s="5"/>
    </row>
    <row r="194" spans="3:6" ht="13.2" x14ac:dyDescent="0.25">
      <c r="C194" s="5"/>
      <c r="D194" s="5"/>
      <c r="E194" s="5"/>
      <c r="F194" s="5"/>
    </row>
    <row r="195" spans="3:6" ht="13.2" x14ac:dyDescent="0.25">
      <c r="C195" s="5"/>
      <c r="D195" s="5"/>
      <c r="E195" s="5"/>
      <c r="F195" s="5"/>
    </row>
    <row r="196" spans="3:6" ht="13.2" x14ac:dyDescent="0.25">
      <c r="C196" s="5"/>
      <c r="D196" s="5"/>
      <c r="E196" s="5"/>
      <c r="F196" s="5"/>
    </row>
    <row r="197" spans="3:6" ht="13.2" x14ac:dyDescent="0.25">
      <c r="C197" s="5"/>
      <c r="D197" s="5"/>
      <c r="E197" s="5"/>
      <c r="F197" s="5"/>
    </row>
    <row r="198" spans="3:6" ht="13.2" x14ac:dyDescent="0.25">
      <c r="C198" s="5"/>
      <c r="D198" s="5"/>
      <c r="E198" s="5"/>
      <c r="F198" s="5"/>
    </row>
    <row r="199" spans="3:6" ht="13.2" x14ac:dyDescent="0.25">
      <c r="C199" s="5"/>
      <c r="D199" s="5"/>
      <c r="E199" s="5"/>
      <c r="F199" s="5"/>
    </row>
    <row r="200" spans="3:6" ht="13.2" x14ac:dyDescent="0.25">
      <c r="C200" s="5"/>
      <c r="D200" s="5"/>
      <c r="E200" s="5"/>
      <c r="F200" s="5"/>
    </row>
    <row r="201" spans="3:6" ht="13.2" x14ac:dyDescent="0.25">
      <c r="C201" s="5"/>
      <c r="D201" s="5"/>
      <c r="E201" s="5"/>
      <c r="F201" s="5"/>
    </row>
    <row r="202" spans="3:6" ht="13.2" x14ac:dyDescent="0.25">
      <c r="C202" s="5"/>
      <c r="D202" s="5"/>
      <c r="E202" s="5"/>
      <c r="F202" s="5"/>
    </row>
    <row r="203" spans="3:6" ht="13.2" x14ac:dyDescent="0.25">
      <c r="C203" s="5"/>
      <c r="D203" s="5"/>
      <c r="E203" s="5"/>
      <c r="F203" s="5"/>
    </row>
    <row r="204" spans="3:6" ht="13.2" x14ac:dyDescent="0.25">
      <c r="C204" s="5"/>
      <c r="D204" s="5"/>
      <c r="E204" s="5"/>
      <c r="F204" s="5"/>
    </row>
    <row r="205" spans="3:6" ht="13.2" x14ac:dyDescent="0.25">
      <c r="C205" s="5"/>
      <c r="D205" s="5"/>
      <c r="E205" s="5"/>
      <c r="F205" s="5"/>
    </row>
    <row r="206" spans="3:6" ht="13.2" x14ac:dyDescent="0.25">
      <c r="C206" s="5"/>
      <c r="D206" s="5"/>
      <c r="E206" s="5"/>
      <c r="F206" s="5"/>
    </row>
    <row r="207" spans="3:6" ht="13.2" x14ac:dyDescent="0.25">
      <c r="C207" s="5"/>
      <c r="D207" s="5"/>
      <c r="E207" s="5"/>
      <c r="F207" s="5"/>
    </row>
    <row r="208" spans="3:6" ht="13.2" x14ac:dyDescent="0.25">
      <c r="C208" s="5"/>
      <c r="D208" s="5"/>
      <c r="E208" s="5"/>
      <c r="F208" s="5"/>
    </row>
    <row r="209" spans="3:6" ht="13.2" x14ac:dyDescent="0.25">
      <c r="C209" s="5"/>
      <c r="D209" s="5"/>
      <c r="E209" s="5"/>
      <c r="F209" s="5"/>
    </row>
    <row r="210" spans="3:6" ht="13.2" x14ac:dyDescent="0.25">
      <c r="C210" s="5"/>
      <c r="D210" s="5"/>
      <c r="E210" s="5"/>
      <c r="F210" s="5"/>
    </row>
    <row r="211" spans="3:6" ht="13.2" x14ac:dyDescent="0.25">
      <c r="C211" s="5"/>
      <c r="D211" s="5"/>
      <c r="E211" s="5"/>
      <c r="F211" s="5"/>
    </row>
    <row r="212" spans="3:6" ht="13.2" x14ac:dyDescent="0.25">
      <c r="C212" s="5"/>
      <c r="D212" s="5"/>
      <c r="E212" s="5"/>
      <c r="F212" s="5"/>
    </row>
    <row r="213" spans="3:6" ht="13.2" x14ac:dyDescent="0.25">
      <c r="C213" s="5"/>
      <c r="D213" s="5"/>
      <c r="E213" s="5"/>
      <c r="F213" s="5"/>
    </row>
    <row r="214" spans="3:6" ht="13.2" x14ac:dyDescent="0.25">
      <c r="C214" s="5"/>
      <c r="D214" s="5"/>
      <c r="E214" s="5"/>
      <c r="F214" s="5"/>
    </row>
    <row r="215" spans="3:6" ht="13.2" x14ac:dyDescent="0.25">
      <c r="C215" s="5"/>
      <c r="D215" s="5"/>
      <c r="E215" s="5"/>
      <c r="F215" s="5"/>
    </row>
    <row r="216" spans="3:6" ht="13.2" x14ac:dyDescent="0.25">
      <c r="C216" s="5"/>
      <c r="D216" s="5"/>
      <c r="E216" s="5"/>
      <c r="F216" s="5"/>
    </row>
    <row r="217" spans="3:6" ht="13.2" x14ac:dyDescent="0.25">
      <c r="C217" s="5"/>
      <c r="D217" s="5"/>
      <c r="E217" s="5"/>
      <c r="F217" s="5"/>
    </row>
    <row r="218" spans="3:6" ht="13.2" x14ac:dyDescent="0.25">
      <c r="C218" s="5"/>
      <c r="D218" s="5"/>
      <c r="E218" s="5"/>
      <c r="F218" s="5"/>
    </row>
    <row r="219" spans="3:6" ht="13.2" x14ac:dyDescent="0.25">
      <c r="C219" s="5"/>
      <c r="D219" s="5"/>
      <c r="E219" s="5"/>
      <c r="F219" s="5"/>
    </row>
    <row r="220" spans="3:6" ht="13.2" x14ac:dyDescent="0.25">
      <c r="C220" s="5"/>
      <c r="D220" s="5"/>
      <c r="E220" s="5"/>
      <c r="F220" s="5"/>
    </row>
    <row r="221" spans="3:6" ht="13.2" x14ac:dyDescent="0.25">
      <c r="C221" s="5"/>
      <c r="D221" s="5"/>
      <c r="E221" s="5"/>
      <c r="F221" s="5"/>
    </row>
    <row r="222" spans="3:6" ht="13.2" x14ac:dyDescent="0.25">
      <c r="C222" s="5"/>
      <c r="D222" s="5"/>
      <c r="E222" s="5"/>
      <c r="F222" s="5"/>
    </row>
    <row r="223" spans="3:6" ht="13.2" x14ac:dyDescent="0.25">
      <c r="C223" s="5"/>
      <c r="D223" s="5"/>
      <c r="E223" s="5"/>
      <c r="F223" s="5"/>
    </row>
    <row r="224" spans="3:6" ht="13.2" x14ac:dyDescent="0.25">
      <c r="C224" s="5"/>
      <c r="D224" s="5"/>
      <c r="E224" s="5"/>
      <c r="F224" s="5"/>
    </row>
    <row r="225" spans="3:6" ht="13.2" x14ac:dyDescent="0.25">
      <c r="C225" s="5"/>
      <c r="D225" s="5"/>
      <c r="E225" s="5"/>
      <c r="F225" s="5"/>
    </row>
    <row r="226" spans="3:6" ht="13.2" x14ac:dyDescent="0.25">
      <c r="C226" s="5"/>
      <c r="D226" s="5"/>
      <c r="E226" s="5"/>
      <c r="F226" s="5"/>
    </row>
    <row r="227" spans="3:6" ht="13.2" x14ac:dyDescent="0.25">
      <c r="C227" s="5"/>
      <c r="D227" s="5"/>
      <c r="E227" s="5"/>
      <c r="F227" s="5"/>
    </row>
    <row r="228" spans="3:6" ht="13.2" x14ac:dyDescent="0.25">
      <c r="C228" s="5"/>
      <c r="D228" s="5"/>
      <c r="E228" s="5"/>
      <c r="F228" s="5"/>
    </row>
    <row r="229" spans="3:6" ht="13.2" x14ac:dyDescent="0.25">
      <c r="C229" s="5"/>
      <c r="D229" s="5"/>
      <c r="E229" s="5"/>
      <c r="F229" s="5"/>
    </row>
    <row r="230" spans="3:6" ht="13.2" x14ac:dyDescent="0.25">
      <c r="C230" s="5"/>
      <c r="D230" s="5"/>
      <c r="E230" s="5"/>
      <c r="F230" s="5"/>
    </row>
    <row r="231" spans="3:6" ht="13.2" x14ac:dyDescent="0.25">
      <c r="C231" s="5"/>
      <c r="D231" s="5"/>
      <c r="E231" s="5"/>
      <c r="F231" s="5"/>
    </row>
    <row r="232" spans="3:6" ht="13.2" x14ac:dyDescent="0.25">
      <c r="C232" s="5"/>
      <c r="D232" s="5"/>
      <c r="E232" s="5"/>
      <c r="F232" s="5"/>
    </row>
    <row r="233" spans="3:6" ht="13.2" x14ac:dyDescent="0.25">
      <c r="C233" s="5"/>
      <c r="D233" s="5"/>
      <c r="E233" s="5"/>
      <c r="F233" s="5"/>
    </row>
    <row r="234" spans="3:6" ht="13.2" x14ac:dyDescent="0.25">
      <c r="C234" s="5"/>
      <c r="D234" s="5"/>
      <c r="E234" s="5"/>
      <c r="F234" s="5"/>
    </row>
    <row r="235" spans="3:6" ht="13.2" x14ac:dyDescent="0.25">
      <c r="C235" s="5"/>
      <c r="D235" s="5"/>
      <c r="E235" s="5"/>
      <c r="F235" s="5"/>
    </row>
    <row r="236" spans="3:6" ht="13.2" x14ac:dyDescent="0.25">
      <c r="C236" s="5"/>
      <c r="D236" s="5"/>
      <c r="E236" s="5"/>
      <c r="F236" s="5"/>
    </row>
    <row r="237" spans="3:6" ht="13.2" x14ac:dyDescent="0.25">
      <c r="C237" s="5"/>
      <c r="D237" s="5"/>
      <c r="E237" s="5"/>
      <c r="F237" s="5"/>
    </row>
    <row r="238" spans="3:6" ht="13.2" x14ac:dyDescent="0.25">
      <c r="C238" s="5"/>
      <c r="D238" s="5"/>
      <c r="E238" s="5"/>
      <c r="F238" s="5"/>
    </row>
    <row r="239" spans="3:6" ht="13.2" x14ac:dyDescent="0.25">
      <c r="C239" s="5"/>
      <c r="D239" s="5"/>
      <c r="E239" s="5"/>
      <c r="F239" s="5"/>
    </row>
    <row r="240" spans="3:6" ht="13.2" x14ac:dyDescent="0.25">
      <c r="C240" s="5"/>
      <c r="D240" s="5"/>
      <c r="E240" s="5"/>
      <c r="F240" s="5"/>
    </row>
    <row r="241" spans="3:6" ht="13.2" x14ac:dyDescent="0.25">
      <c r="C241" s="5"/>
      <c r="D241" s="5"/>
      <c r="E241" s="5"/>
      <c r="F241" s="5"/>
    </row>
    <row r="242" spans="3:6" ht="13.2" x14ac:dyDescent="0.25">
      <c r="C242" s="5"/>
      <c r="D242" s="5"/>
      <c r="E242" s="5"/>
      <c r="F242" s="5"/>
    </row>
    <row r="243" spans="3:6" ht="13.2" x14ac:dyDescent="0.25">
      <c r="C243" s="5"/>
      <c r="D243" s="5"/>
      <c r="E243" s="5"/>
      <c r="F243" s="5"/>
    </row>
    <row r="244" spans="3:6" ht="13.2" x14ac:dyDescent="0.25">
      <c r="C244" s="5"/>
      <c r="D244" s="5"/>
      <c r="E244" s="5"/>
      <c r="F244" s="5"/>
    </row>
    <row r="245" spans="3:6" ht="13.2" x14ac:dyDescent="0.25">
      <c r="C245" s="5"/>
      <c r="D245" s="5"/>
      <c r="E245" s="5"/>
      <c r="F245" s="5"/>
    </row>
    <row r="246" spans="3:6" ht="13.2" x14ac:dyDescent="0.25">
      <c r="C246" s="5"/>
      <c r="D246" s="5"/>
      <c r="E246" s="5"/>
      <c r="F246" s="5"/>
    </row>
    <row r="247" spans="3:6" ht="13.2" x14ac:dyDescent="0.25">
      <c r="C247" s="5"/>
      <c r="D247" s="5"/>
      <c r="E247" s="5"/>
      <c r="F247" s="5"/>
    </row>
    <row r="248" spans="3:6" ht="13.2" x14ac:dyDescent="0.25">
      <c r="C248" s="5"/>
      <c r="D248" s="5"/>
      <c r="E248" s="5"/>
      <c r="F248" s="5"/>
    </row>
    <row r="249" spans="3:6" ht="13.2" x14ac:dyDescent="0.25">
      <c r="C249" s="5"/>
      <c r="D249" s="5"/>
      <c r="E249" s="5"/>
      <c r="F249" s="5"/>
    </row>
    <row r="250" spans="3:6" ht="13.2" x14ac:dyDescent="0.25">
      <c r="C250" s="5"/>
      <c r="D250" s="5"/>
      <c r="E250" s="5"/>
      <c r="F250" s="5"/>
    </row>
    <row r="251" spans="3:6" ht="13.2" x14ac:dyDescent="0.25">
      <c r="C251" s="5"/>
      <c r="D251" s="5"/>
      <c r="E251" s="5"/>
      <c r="F251" s="5"/>
    </row>
    <row r="252" spans="3:6" ht="13.2" x14ac:dyDescent="0.25">
      <c r="C252" s="5"/>
      <c r="D252" s="5"/>
      <c r="E252" s="5"/>
      <c r="F252" s="5"/>
    </row>
    <row r="253" spans="3:6" ht="13.2" x14ac:dyDescent="0.25">
      <c r="C253" s="5"/>
      <c r="D253" s="5"/>
      <c r="E253" s="5"/>
      <c r="F253" s="5"/>
    </row>
    <row r="254" spans="3:6" ht="13.2" x14ac:dyDescent="0.25">
      <c r="C254" s="5"/>
      <c r="D254" s="5"/>
      <c r="E254" s="5"/>
      <c r="F254" s="5"/>
    </row>
    <row r="255" spans="3:6" ht="13.2" x14ac:dyDescent="0.25">
      <c r="C255" s="5"/>
      <c r="D255" s="5"/>
      <c r="E255" s="5"/>
      <c r="F255" s="5"/>
    </row>
    <row r="256" spans="3:6" ht="13.2" x14ac:dyDescent="0.25">
      <c r="C256" s="5"/>
      <c r="D256" s="5"/>
      <c r="E256" s="5"/>
      <c r="F256" s="5"/>
    </row>
    <row r="257" spans="3:6" ht="13.2" x14ac:dyDescent="0.25">
      <c r="C257" s="5"/>
      <c r="D257" s="5"/>
      <c r="E257" s="5"/>
      <c r="F257" s="5"/>
    </row>
    <row r="258" spans="3:6" ht="13.2" x14ac:dyDescent="0.25">
      <c r="C258" s="5"/>
      <c r="D258" s="5"/>
      <c r="E258" s="5"/>
      <c r="F258" s="5"/>
    </row>
    <row r="259" spans="3:6" ht="13.2" x14ac:dyDescent="0.25">
      <c r="C259" s="5"/>
      <c r="D259" s="5"/>
      <c r="E259" s="5"/>
      <c r="F259" s="5"/>
    </row>
    <row r="260" spans="3:6" ht="13.2" x14ac:dyDescent="0.25">
      <c r="C260" s="5"/>
      <c r="D260" s="5"/>
      <c r="E260" s="5"/>
      <c r="F260" s="5"/>
    </row>
    <row r="261" spans="3:6" ht="13.2" x14ac:dyDescent="0.25">
      <c r="C261" s="5"/>
      <c r="D261" s="5"/>
      <c r="E261" s="5"/>
      <c r="F261" s="5"/>
    </row>
    <row r="262" spans="3:6" ht="13.2" x14ac:dyDescent="0.25">
      <c r="C262" s="5"/>
      <c r="D262" s="5"/>
      <c r="E262" s="5"/>
      <c r="F262" s="5"/>
    </row>
    <row r="263" spans="3:6" ht="13.2" x14ac:dyDescent="0.25">
      <c r="C263" s="5"/>
      <c r="D263" s="5"/>
      <c r="E263" s="5"/>
      <c r="F263" s="5"/>
    </row>
    <row r="264" spans="3:6" ht="13.2" x14ac:dyDescent="0.25">
      <c r="C264" s="5"/>
      <c r="D264" s="5"/>
      <c r="E264" s="5"/>
      <c r="F264" s="5"/>
    </row>
    <row r="265" spans="3:6" ht="13.2" x14ac:dyDescent="0.25">
      <c r="C265" s="5"/>
      <c r="D265" s="5"/>
      <c r="E265" s="5"/>
      <c r="F265" s="5"/>
    </row>
    <row r="266" spans="3:6" ht="13.2" x14ac:dyDescent="0.25">
      <c r="C266" s="5"/>
      <c r="D266" s="5"/>
      <c r="E266" s="5"/>
      <c r="F266" s="5"/>
    </row>
    <row r="267" spans="3:6" ht="13.2" x14ac:dyDescent="0.25">
      <c r="C267" s="5"/>
      <c r="D267" s="5"/>
      <c r="E267" s="5"/>
      <c r="F267" s="5"/>
    </row>
    <row r="268" spans="3:6" ht="13.2" x14ac:dyDescent="0.25">
      <c r="C268" s="5"/>
      <c r="D268" s="5"/>
      <c r="E268" s="5"/>
      <c r="F268" s="5"/>
    </row>
    <row r="269" spans="3:6" ht="13.2" x14ac:dyDescent="0.25">
      <c r="C269" s="5"/>
      <c r="D269" s="5"/>
      <c r="E269" s="5"/>
      <c r="F269" s="5"/>
    </row>
    <row r="270" spans="3:6" ht="13.2" x14ac:dyDescent="0.25">
      <c r="C270" s="5"/>
      <c r="D270" s="5"/>
      <c r="E270" s="5"/>
      <c r="F270" s="5"/>
    </row>
    <row r="271" spans="3:6" ht="13.2" x14ac:dyDescent="0.25">
      <c r="C271" s="5"/>
      <c r="D271" s="5"/>
      <c r="E271" s="5"/>
      <c r="F271" s="5"/>
    </row>
    <row r="272" spans="3:6" ht="13.2" x14ac:dyDescent="0.25">
      <c r="C272" s="5"/>
      <c r="D272" s="5"/>
      <c r="E272" s="5"/>
      <c r="F272" s="5"/>
    </row>
    <row r="273" spans="3:6" ht="13.2" x14ac:dyDescent="0.25">
      <c r="C273" s="5"/>
      <c r="D273" s="5"/>
      <c r="E273" s="5"/>
      <c r="F273" s="5"/>
    </row>
    <row r="274" spans="3:6" ht="13.2" x14ac:dyDescent="0.25">
      <c r="C274" s="5"/>
      <c r="D274" s="5"/>
      <c r="E274" s="5"/>
      <c r="F274" s="5"/>
    </row>
    <row r="275" spans="3:6" ht="13.2" x14ac:dyDescent="0.25">
      <c r="C275" s="5"/>
      <c r="D275" s="5"/>
      <c r="E275" s="5"/>
      <c r="F275" s="5"/>
    </row>
    <row r="276" spans="3:6" ht="13.2" x14ac:dyDescent="0.25">
      <c r="C276" s="5"/>
      <c r="D276" s="5"/>
      <c r="E276" s="5"/>
      <c r="F276" s="5"/>
    </row>
    <row r="277" spans="3:6" ht="13.2" x14ac:dyDescent="0.25">
      <c r="C277" s="5"/>
      <c r="D277" s="5"/>
      <c r="E277" s="5"/>
      <c r="F277" s="5"/>
    </row>
    <row r="278" spans="3:6" ht="13.2" x14ac:dyDescent="0.25">
      <c r="C278" s="5"/>
      <c r="D278" s="5"/>
      <c r="E278" s="5"/>
      <c r="F278" s="5"/>
    </row>
    <row r="279" spans="3:6" ht="13.2" x14ac:dyDescent="0.25">
      <c r="C279" s="5"/>
      <c r="D279" s="5"/>
      <c r="E279" s="5"/>
      <c r="F279" s="5"/>
    </row>
    <row r="280" spans="3:6" ht="13.2" x14ac:dyDescent="0.25">
      <c r="C280" s="5"/>
      <c r="D280" s="5"/>
      <c r="E280" s="5"/>
      <c r="F280" s="5"/>
    </row>
    <row r="281" spans="3:6" ht="13.2" x14ac:dyDescent="0.25">
      <c r="C281" s="5"/>
      <c r="D281" s="5"/>
      <c r="E281" s="5"/>
      <c r="F281" s="5"/>
    </row>
    <row r="282" spans="3:6" ht="13.2" x14ac:dyDescent="0.25">
      <c r="C282" s="5"/>
      <c r="D282" s="5"/>
      <c r="E282" s="5"/>
      <c r="F282" s="5"/>
    </row>
    <row r="283" spans="3:6" ht="13.2" x14ac:dyDescent="0.25">
      <c r="C283" s="5"/>
      <c r="D283" s="5"/>
      <c r="E283" s="5"/>
      <c r="F283" s="5"/>
    </row>
    <row r="284" spans="3:6" ht="13.2" x14ac:dyDescent="0.25">
      <c r="C284" s="5"/>
      <c r="D284" s="5"/>
      <c r="E284" s="5"/>
      <c r="F284" s="5"/>
    </row>
    <row r="285" spans="3:6" ht="13.2" x14ac:dyDescent="0.25">
      <c r="C285" s="5"/>
      <c r="D285" s="5"/>
      <c r="E285" s="5"/>
      <c r="F285" s="5"/>
    </row>
    <row r="286" spans="3:6" ht="13.2" x14ac:dyDescent="0.25">
      <c r="C286" s="5"/>
      <c r="D286" s="5"/>
      <c r="E286" s="5"/>
      <c r="F286" s="5"/>
    </row>
    <row r="287" spans="3:6" ht="13.2" x14ac:dyDescent="0.25">
      <c r="C287" s="5"/>
      <c r="D287" s="5"/>
      <c r="E287" s="5"/>
      <c r="F287" s="5"/>
    </row>
    <row r="288" spans="3:6" ht="13.2" x14ac:dyDescent="0.25">
      <c r="C288" s="5"/>
      <c r="D288" s="5"/>
      <c r="E288" s="5"/>
      <c r="F288" s="5"/>
    </row>
    <row r="289" spans="3:6" ht="13.2" x14ac:dyDescent="0.25">
      <c r="C289" s="5"/>
      <c r="D289" s="5"/>
      <c r="E289" s="5"/>
      <c r="F289" s="5"/>
    </row>
    <row r="290" spans="3:6" ht="13.2" x14ac:dyDescent="0.25">
      <c r="C290" s="5"/>
      <c r="D290" s="5"/>
      <c r="E290" s="5"/>
      <c r="F290" s="5"/>
    </row>
    <row r="291" spans="3:6" ht="13.2" x14ac:dyDescent="0.25">
      <c r="C291" s="5"/>
      <c r="D291" s="5"/>
      <c r="E291" s="5"/>
      <c r="F291" s="5"/>
    </row>
    <row r="292" spans="3:6" ht="13.2" x14ac:dyDescent="0.25">
      <c r="C292" s="5"/>
      <c r="D292" s="5"/>
      <c r="E292" s="5"/>
      <c r="F292" s="5"/>
    </row>
    <row r="293" spans="3:6" ht="13.2" x14ac:dyDescent="0.25">
      <c r="C293" s="5"/>
      <c r="D293" s="5"/>
      <c r="E293" s="5"/>
      <c r="F293" s="5"/>
    </row>
    <row r="294" spans="3:6" ht="13.2" x14ac:dyDescent="0.25">
      <c r="C294" s="5"/>
      <c r="D294" s="5"/>
      <c r="E294" s="5"/>
      <c r="F294" s="5"/>
    </row>
    <row r="295" spans="3:6" ht="13.2" x14ac:dyDescent="0.25">
      <c r="C295" s="5"/>
      <c r="D295" s="5"/>
      <c r="E295" s="5"/>
      <c r="F295" s="5"/>
    </row>
    <row r="296" spans="3:6" ht="13.2" x14ac:dyDescent="0.25">
      <c r="C296" s="5"/>
      <c r="D296" s="5"/>
      <c r="E296" s="5"/>
      <c r="F296" s="5"/>
    </row>
    <row r="297" spans="3:6" ht="13.2" x14ac:dyDescent="0.25">
      <c r="C297" s="5"/>
      <c r="D297" s="5"/>
      <c r="E297" s="5"/>
      <c r="F297" s="5"/>
    </row>
    <row r="298" spans="3:6" ht="13.2" x14ac:dyDescent="0.25">
      <c r="C298" s="5"/>
      <c r="D298" s="5"/>
      <c r="E298" s="5"/>
      <c r="F298" s="5"/>
    </row>
    <row r="299" spans="3:6" ht="13.2" x14ac:dyDescent="0.25">
      <c r="C299" s="5"/>
      <c r="D299" s="5"/>
      <c r="E299" s="5"/>
      <c r="F299" s="5"/>
    </row>
    <row r="300" spans="3:6" ht="13.2" x14ac:dyDescent="0.25">
      <c r="C300" s="5"/>
      <c r="D300" s="5"/>
      <c r="E300" s="5"/>
      <c r="F300" s="5"/>
    </row>
    <row r="301" spans="3:6" ht="13.2" x14ac:dyDescent="0.25">
      <c r="C301" s="5"/>
      <c r="D301" s="5"/>
      <c r="E301" s="5"/>
      <c r="F301" s="5"/>
    </row>
    <row r="302" spans="3:6" ht="13.2" x14ac:dyDescent="0.25">
      <c r="C302" s="5"/>
      <c r="D302" s="5"/>
      <c r="E302" s="5"/>
      <c r="F302" s="5"/>
    </row>
    <row r="303" spans="3:6" ht="13.2" x14ac:dyDescent="0.25">
      <c r="C303" s="5"/>
      <c r="D303" s="5"/>
      <c r="E303" s="5"/>
      <c r="F303" s="5"/>
    </row>
    <row r="304" spans="3:6" ht="13.2" x14ac:dyDescent="0.25">
      <c r="C304" s="5"/>
      <c r="D304" s="5"/>
      <c r="E304" s="5"/>
      <c r="F304" s="5"/>
    </row>
    <row r="305" spans="3:6" ht="13.2" x14ac:dyDescent="0.25">
      <c r="C305" s="5"/>
      <c r="D305" s="5"/>
      <c r="E305" s="5"/>
      <c r="F305" s="5"/>
    </row>
    <row r="306" spans="3:6" ht="13.2" x14ac:dyDescent="0.25">
      <c r="C306" s="5"/>
      <c r="D306" s="5"/>
      <c r="E306" s="5"/>
      <c r="F306" s="5"/>
    </row>
    <row r="307" spans="3:6" ht="13.2" x14ac:dyDescent="0.25">
      <c r="C307" s="5"/>
      <c r="D307" s="5"/>
      <c r="E307" s="5"/>
      <c r="F307" s="5"/>
    </row>
    <row r="308" spans="3:6" ht="13.2" x14ac:dyDescent="0.25">
      <c r="C308" s="5"/>
      <c r="D308" s="5"/>
      <c r="E308" s="5"/>
      <c r="F308" s="5"/>
    </row>
    <row r="309" spans="3:6" ht="13.2" x14ac:dyDescent="0.25">
      <c r="C309" s="5"/>
      <c r="D309" s="5"/>
      <c r="E309" s="5"/>
      <c r="F309" s="5"/>
    </row>
    <row r="310" spans="3:6" ht="13.2" x14ac:dyDescent="0.25">
      <c r="C310" s="5"/>
      <c r="D310" s="5"/>
      <c r="E310" s="5"/>
      <c r="F310" s="5"/>
    </row>
    <row r="311" spans="3:6" ht="13.2" x14ac:dyDescent="0.25">
      <c r="C311" s="5"/>
      <c r="D311" s="5"/>
      <c r="E311" s="5"/>
      <c r="F311" s="5"/>
    </row>
    <row r="312" spans="3:6" ht="13.2" x14ac:dyDescent="0.25">
      <c r="C312" s="5"/>
      <c r="D312" s="5"/>
      <c r="E312" s="5"/>
      <c r="F312" s="5"/>
    </row>
    <row r="313" spans="3:6" ht="13.2" x14ac:dyDescent="0.25">
      <c r="C313" s="5"/>
      <c r="D313" s="5"/>
      <c r="E313" s="5"/>
      <c r="F313" s="5"/>
    </row>
    <row r="314" spans="3:6" ht="13.2" x14ac:dyDescent="0.25">
      <c r="C314" s="5"/>
      <c r="D314" s="5"/>
      <c r="E314" s="5"/>
      <c r="F314" s="5"/>
    </row>
    <row r="315" spans="3:6" ht="13.2" x14ac:dyDescent="0.25">
      <c r="C315" s="5"/>
      <c r="D315" s="5"/>
      <c r="E315" s="5"/>
      <c r="F315" s="5"/>
    </row>
    <row r="316" spans="3:6" ht="13.2" x14ac:dyDescent="0.25">
      <c r="C316" s="5"/>
      <c r="D316" s="5"/>
      <c r="E316" s="5"/>
      <c r="F316" s="5"/>
    </row>
    <row r="317" spans="3:6" ht="13.2" x14ac:dyDescent="0.25">
      <c r="C317" s="5"/>
      <c r="D317" s="5"/>
      <c r="E317" s="5"/>
      <c r="F317" s="5"/>
    </row>
    <row r="318" spans="3:6" ht="13.2" x14ac:dyDescent="0.25">
      <c r="C318" s="5"/>
      <c r="D318" s="5"/>
      <c r="E318" s="5"/>
      <c r="F318" s="5"/>
    </row>
    <row r="319" spans="3:6" ht="13.2" x14ac:dyDescent="0.25">
      <c r="C319" s="5"/>
      <c r="D319" s="5"/>
      <c r="E319" s="5"/>
      <c r="F319" s="5"/>
    </row>
    <row r="320" spans="3:6" ht="13.2" x14ac:dyDescent="0.25">
      <c r="C320" s="5"/>
      <c r="D320" s="5"/>
      <c r="E320" s="5"/>
      <c r="F320" s="5"/>
    </row>
    <row r="321" spans="3:6" ht="13.2" x14ac:dyDescent="0.25">
      <c r="C321" s="5"/>
      <c r="D321" s="5"/>
      <c r="E321" s="5"/>
      <c r="F321" s="5"/>
    </row>
    <row r="322" spans="3:6" ht="13.2" x14ac:dyDescent="0.25">
      <c r="C322" s="5"/>
      <c r="D322" s="5"/>
      <c r="E322" s="5"/>
      <c r="F322" s="5"/>
    </row>
    <row r="323" spans="3:6" ht="13.2" x14ac:dyDescent="0.25">
      <c r="C323" s="5"/>
      <c r="D323" s="5"/>
      <c r="E323" s="5"/>
      <c r="F323" s="5"/>
    </row>
    <row r="324" spans="3:6" ht="13.2" x14ac:dyDescent="0.25">
      <c r="C324" s="5"/>
      <c r="D324" s="5"/>
      <c r="E324" s="5"/>
      <c r="F324" s="5"/>
    </row>
    <row r="325" spans="3:6" ht="13.2" x14ac:dyDescent="0.25">
      <c r="C325" s="5"/>
      <c r="D325" s="5"/>
      <c r="E325" s="5"/>
      <c r="F325" s="5"/>
    </row>
    <row r="326" spans="3:6" ht="13.2" x14ac:dyDescent="0.25">
      <c r="C326" s="5"/>
      <c r="D326" s="5"/>
      <c r="E326" s="5"/>
      <c r="F326" s="5"/>
    </row>
    <row r="327" spans="3:6" ht="13.2" x14ac:dyDescent="0.25">
      <c r="C327" s="5"/>
      <c r="D327" s="5"/>
      <c r="E327" s="5"/>
      <c r="F327" s="5"/>
    </row>
    <row r="328" spans="3:6" ht="13.2" x14ac:dyDescent="0.25">
      <c r="C328" s="5"/>
      <c r="D328" s="5"/>
      <c r="E328" s="5"/>
      <c r="F328" s="5"/>
    </row>
    <row r="329" spans="3:6" ht="13.2" x14ac:dyDescent="0.25">
      <c r="C329" s="5"/>
      <c r="D329" s="5"/>
      <c r="E329" s="5"/>
      <c r="F329" s="5"/>
    </row>
    <row r="330" spans="3:6" ht="13.2" x14ac:dyDescent="0.25">
      <c r="C330" s="5"/>
      <c r="D330" s="5"/>
      <c r="E330" s="5"/>
      <c r="F330" s="5"/>
    </row>
    <row r="331" spans="3:6" ht="13.2" x14ac:dyDescent="0.25">
      <c r="C331" s="5"/>
      <c r="D331" s="5"/>
      <c r="E331" s="5"/>
      <c r="F331" s="5"/>
    </row>
    <row r="332" spans="3:6" ht="13.2" x14ac:dyDescent="0.25">
      <c r="C332" s="5"/>
      <c r="D332" s="5"/>
      <c r="E332" s="5"/>
      <c r="F332" s="5"/>
    </row>
    <row r="333" spans="3:6" ht="13.2" x14ac:dyDescent="0.25">
      <c r="C333" s="5"/>
      <c r="D333" s="5"/>
      <c r="E333" s="5"/>
      <c r="F333" s="5"/>
    </row>
    <row r="334" spans="3:6" ht="13.2" x14ac:dyDescent="0.25">
      <c r="C334" s="5"/>
      <c r="D334" s="5"/>
      <c r="E334" s="5"/>
      <c r="F334" s="5"/>
    </row>
    <row r="335" spans="3:6" ht="13.2" x14ac:dyDescent="0.25">
      <c r="C335" s="5"/>
      <c r="D335" s="5"/>
      <c r="E335" s="5"/>
      <c r="F335" s="5"/>
    </row>
    <row r="336" spans="3:6" ht="13.2" x14ac:dyDescent="0.25">
      <c r="C336" s="5"/>
      <c r="D336" s="5"/>
      <c r="E336" s="5"/>
      <c r="F336" s="5"/>
    </row>
    <row r="337" spans="3:6" ht="13.2" x14ac:dyDescent="0.25">
      <c r="C337" s="5"/>
      <c r="D337" s="5"/>
      <c r="E337" s="5"/>
      <c r="F337" s="5"/>
    </row>
    <row r="338" spans="3:6" ht="13.2" x14ac:dyDescent="0.25">
      <c r="C338" s="5"/>
      <c r="D338" s="5"/>
      <c r="E338" s="5"/>
      <c r="F338" s="5"/>
    </row>
    <row r="339" spans="3:6" ht="13.2" x14ac:dyDescent="0.25">
      <c r="C339" s="5"/>
      <c r="D339" s="5"/>
      <c r="E339" s="5"/>
      <c r="F339" s="5"/>
    </row>
    <row r="340" spans="3:6" ht="13.2" x14ac:dyDescent="0.25">
      <c r="C340" s="5"/>
      <c r="D340" s="5"/>
      <c r="E340" s="5"/>
      <c r="F340" s="5"/>
    </row>
    <row r="341" spans="3:6" ht="13.2" x14ac:dyDescent="0.25">
      <c r="C341" s="5"/>
      <c r="D341" s="5"/>
      <c r="E341" s="5"/>
      <c r="F341" s="5"/>
    </row>
    <row r="342" spans="3:6" ht="13.2" x14ac:dyDescent="0.25">
      <c r="C342" s="5"/>
      <c r="D342" s="5"/>
      <c r="E342" s="5"/>
      <c r="F342" s="5"/>
    </row>
    <row r="343" spans="3:6" ht="13.2" x14ac:dyDescent="0.25">
      <c r="C343" s="5"/>
      <c r="D343" s="5"/>
      <c r="E343" s="5"/>
      <c r="F343" s="5"/>
    </row>
    <row r="344" spans="3:6" ht="13.2" x14ac:dyDescent="0.25">
      <c r="C344" s="5"/>
      <c r="D344" s="5"/>
      <c r="E344" s="5"/>
      <c r="F344" s="5"/>
    </row>
    <row r="345" spans="3:6" ht="13.2" x14ac:dyDescent="0.25">
      <c r="C345" s="5"/>
      <c r="D345" s="5"/>
      <c r="E345" s="5"/>
      <c r="F345" s="5"/>
    </row>
    <row r="346" spans="3:6" ht="13.2" x14ac:dyDescent="0.25">
      <c r="C346" s="5"/>
      <c r="D346" s="5"/>
      <c r="E346" s="5"/>
      <c r="F346" s="5"/>
    </row>
    <row r="347" spans="3:6" ht="13.2" x14ac:dyDescent="0.25">
      <c r="C347" s="5"/>
      <c r="D347" s="5"/>
      <c r="E347" s="5"/>
      <c r="F347" s="5"/>
    </row>
    <row r="348" spans="3:6" ht="13.2" x14ac:dyDescent="0.25">
      <c r="C348" s="5"/>
      <c r="D348" s="5"/>
      <c r="E348" s="5"/>
      <c r="F348" s="5"/>
    </row>
    <row r="349" spans="3:6" ht="13.2" x14ac:dyDescent="0.25">
      <c r="C349" s="5"/>
      <c r="D349" s="5"/>
      <c r="E349" s="5"/>
      <c r="F349" s="5"/>
    </row>
    <row r="350" spans="3:6" ht="13.2" x14ac:dyDescent="0.25">
      <c r="C350" s="5"/>
      <c r="D350" s="5"/>
      <c r="E350" s="5"/>
      <c r="F350" s="5"/>
    </row>
    <row r="351" spans="3:6" ht="13.2" x14ac:dyDescent="0.25">
      <c r="C351" s="5"/>
      <c r="D351" s="5"/>
      <c r="E351" s="5"/>
      <c r="F351" s="5"/>
    </row>
    <row r="352" spans="3:6" ht="13.2" x14ac:dyDescent="0.25">
      <c r="C352" s="5"/>
      <c r="D352" s="5"/>
      <c r="E352" s="5"/>
      <c r="F352" s="5"/>
    </row>
    <row r="353" spans="3:6" ht="13.2" x14ac:dyDescent="0.25">
      <c r="C353" s="5"/>
      <c r="D353" s="5"/>
      <c r="E353" s="5"/>
      <c r="F353" s="5"/>
    </row>
    <row r="354" spans="3:6" ht="13.2" x14ac:dyDescent="0.25">
      <c r="C354" s="5"/>
      <c r="D354" s="5"/>
      <c r="E354" s="5"/>
      <c r="F354" s="5"/>
    </row>
    <row r="355" spans="3:6" ht="13.2" x14ac:dyDescent="0.25">
      <c r="C355" s="5"/>
      <c r="D355" s="5"/>
      <c r="E355" s="5"/>
      <c r="F355" s="5"/>
    </row>
    <row r="356" spans="3:6" ht="13.2" x14ac:dyDescent="0.25">
      <c r="C356" s="5"/>
      <c r="D356" s="5"/>
      <c r="E356" s="5"/>
      <c r="F356" s="5"/>
    </row>
    <row r="357" spans="3:6" ht="13.2" x14ac:dyDescent="0.25">
      <c r="C357" s="5"/>
      <c r="D357" s="5"/>
      <c r="E357" s="5"/>
      <c r="F357" s="5"/>
    </row>
    <row r="358" spans="3:6" ht="13.2" x14ac:dyDescent="0.25">
      <c r="C358" s="5"/>
      <c r="D358" s="5"/>
      <c r="E358" s="5"/>
      <c r="F358" s="5"/>
    </row>
    <row r="359" spans="3:6" ht="13.2" x14ac:dyDescent="0.25">
      <c r="C359" s="5"/>
      <c r="D359" s="5"/>
      <c r="E359" s="5"/>
      <c r="F359" s="5"/>
    </row>
    <row r="360" spans="3:6" ht="13.2" x14ac:dyDescent="0.25">
      <c r="C360" s="5"/>
      <c r="D360" s="5"/>
      <c r="E360" s="5"/>
      <c r="F360" s="5"/>
    </row>
    <row r="361" spans="3:6" ht="13.2" x14ac:dyDescent="0.25">
      <c r="C361" s="5"/>
      <c r="D361" s="5"/>
      <c r="E361" s="5"/>
      <c r="F361" s="5"/>
    </row>
    <row r="362" spans="3:6" ht="13.2" x14ac:dyDescent="0.25">
      <c r="C362" s="5"/>
      <c r="D362" s="5"/>
      <c r="E362" s="5"/>
      <c r="F362" s="5"/>
    </row>
    <row r="363" spans="3:6" ht="13.2" x14ac:dyDescent="0.25">
      <c r="C363" s="5"/>
      <c r="D363" s="5"/>
      <c r="E363" s="5"/>
      <c r="F363" s="5"/>
    </row>
    <row r="364" spans="3:6" ht="13.2" x14ac:dyDescent="0.25">
      <c r="C364" s="5"/>
      <c r="D364" s="5"/>
      <c r="E364" s="5"/>
      <c r="F364" s="5"/>
    </row>
    <row r="365" spans="3:6" ht="13.2" x14ac:dyDescent="0.25">
      <c r="C365" s="5"/>
      <c r="D365" s="5"/>
      <c r="E365" s="5"/>
      <c r="F365" s="5"/>
    </row>
    <row r="366" spans="3:6" ht="13.2" x14ac:dyDescent="0.25">
      <c r="C366" s="5"/>
      <c r="D366" s="5"/>
      <c r="E366" s="5"/>
      <c r="F366" s="5"/>
    </row>
    <row r="367" spans="3:6" ht="13.2" x14ac:dyDescent="0.25">
      <c r="C367" s="5"/>
      <c r="D367" s="5"/>
      <c r="E367" s="5"/>
      <c r="F367" s="5"/>
    </row>
    <row r="368" spans="3:6" ht="13.2" x14ac:dyDescent="0.25">
      <c r="C368" s="5"/>
      <c r="D368" s="5"/>
      <c r="E368" s="5"/>
      <c r="F368" s="5"/>
    </row>
    <row r="369" spans="3:6" ht="13.2" x14ac:dyDescent="0.25">
      <c r="C369" s="5"/>
      <c r="D369" s="5"/>
      <c r="E369" s="5"/>
      <c r="F369" s="5"/>
    </row>
    <row r="370" spans="3:6" ht="13.2" x14ac:dyDescent="0.25">
      <c r="C370" s="5"/>
      <c r="D370" s="5"/>
      <c r="E370" s="5"/>
      <c r="F370" s="5"/>
    </row>
    <row r="371" spans="3:6" ht="13.2" x14ac:dyDescent="0.25">
      <c r="C371" s="5"/>
      <c r="D371" s="5"/>
      <c r="E371" s="5"/>
      <c r="F371" s="5"/>
    </row>
    <row r="372" spans="3:6" ht="13.2" x14ac:dyDescent="0.25">
      <c r="C372" s="5"/>
      <c r="D372" s="5"/>
      <c r="E372" s="5"/>
      <c r="F372" s="5"/>
    </row>
    <row r="373" spans="3:6" ht="13.2" x14ac:dyDescent="0.25">
      <c r="C373" s="5"/>
      <c r="D373" s="5"/>
      <c r="E373" s="5"/>
      <c r="F373" s="5"/>
    </row>
    <row r="374" spans="3:6" ht="13.2" x14ac:dyDescent="0.25">
      <c r="C374" s="5"/>
      <c r="D374" s="5"/>
      <c r="E374" s="5"/>
      <c r="F374" s="5"/>
    </row>
    <row r="375" spans="3:6" ht="13.2" x14ac:dyDescent="0.25">
      <c r="C375" s="5"/>
      <c r="D375" s="5"/>
      <c r="E375" s="5"/>
      <c r="F375" s="5"/>
    </row>
    <row r="376" spans="3:6" ht="13.2" x14ac:dyDescent="0.25">
      <c r="C376" s="5"/>
      <c r="D376" s="5"/>
      <c r="E376" s="5"/>
      <c r="F376" s="5"/>
    </row>
    <row r="377" spans="3:6" ht="13.2" x14ac:dyDescent="0.25">
      <c r="C377" s="5"/>
      <c r="D377" s="5"/>
      <c r="E377" s="5"/>
      <c r="F377" s="5"/>
    </row>
    <row r="378" spans="3:6" ht="13.2" x14ac:dyDescent="0.25">
      <c r="C378" s="5"/>
      <c r="D378" s="5"/>
      <c r="E378" s="5"/>
      <c r="F378" s="5"/>
    </row>
    <row r="379" spans="3:6" ht="13.2" x14ac:dyDescent="0.25">
      <c r="C379" s="5"/>
      <c r="D379" s="5"/>
      <c r="E379" s="5"/>
      <c r="F379" s="5"/>
    </row>
    <row r="380" spans="3:6" ht="13.2" x14ac:dyDescent="0.25">
      <c r="C380" s="5"/>
      <c r="D380" s="5"/>
      <c r="E380" s="5"/>
      <c r="F380" s="5"/>
    </row>
    <row r="381" spans="3:6" ht="13.2" x14ac:dyDescent="0.25">
      <c r="C381" s="5"/>
      <c r="D381" s="5"/>
      <c r="E381" s="5"/>
      <c r="F381" s="5"/>
    </row>
    <row r="382" spans="3:6" ht="13.2" x14ac:dyDescent="0.25">
      <c r="C382" s="5"/>
      <c r="D382" s="5"/>
      <c r="E382" s="5"/>
      <c r="F382" s="5"/>
    </row>
    <row r="383" spans="3:6" ht="13.2" x14ac:dyDescent="0.25">
      <c r="C383" s="5"/>
      <c r="D383" s="5"/>
      <c r="E383" s="5"/>
      <c r="F383" s="5"/>
    </row>
    <row r="384" spans="3:6" ht="13.2" x14ac:dyDescent="0.25">
      <c r="C384" s="5"/>
      <c r="D384" s="5"/>
      <c r="E384" s="5"/>
      <c r="F384" s="5"/>
    </row>
    <row r="385" spans="3:6" ht="13.2" x14ac:dyDescent="0.25">
      <c r="C385" s="5"/>
      <c r="D385" s="5"/>
      <c r="E385" s="5"/>
      <c r="F385" s="5"/>
    </row>
    <row r="386" spans="3:6" ht="13.2" x14ac:dyDescent="0.25">
      <c r="C386" s="5"/>
      <c r="D386" s="5"/>
      <c r="E386" s="5"/>
      <c r="F386" s="5"/>
    </row>
    <row r="387" spans="3:6" ht="13.2" x14ac:dyDescent="0.25">
      <c r="C387" s="5"/>
      <c r="D387" s="5"/>
      <c r="E387" s="5"/>
      <c r="F387" s="5"/>
    </row>
    <row r="388" spans="3:6" ht="13.2" x14ac:dyDescent="0.25">
      <c r="C388" s="5"/>
      <c r="D388" s="5"/>
      <c r="E388" s="5"/>
      <c r="F388" s="5"/>
    </row>
    <row r="389" spans="3:6" ht="13.2" x14ac:dyDescent="0.25">
      <c r="C389" s="5"/>
      <c r="D389" s="5"/>
      <c r="E389" s="5"/>
      <c r="F389" s="5"/>
    </row>
    <row r="390" spans="3:6" ht="13.2" x14ac:dyDescent="0.25">
      <c r="C390" s="5"/>
      <c r="D390" s="5"/>
      <c r="E390" s="5"/>
      <c r="F390" s="5"/>
    </row>
    <row r="391" spans="3:6" ht="13.2" x14ac:dyDescent="0.25">
      <c r="C391" s="5"/>
      <c r="D391" s="5"/>
      <c r="E391" s="5"/>
      <c r="F391" s="5"/>
    </row>
    <row r="392" spans="3:6" ht="13.2" x14ac:dyDescent="0.25">
      <c r="C392" s="5"/>
      <c r="D392" s="5"/>
      <c r="E392" s="5"/>
      <c r="F392" s="5"/>
    </row>
    <row r="393" spans="3:6" ht="13.2" x14ac:dyDescent="0.25">
      <c r="C393" s="5"/>
      <c r="D393" s="5"/>
      <c r="E393" s="5"/>
      <c r="F393" s="5"/>
    </row>
    <row r="394" spans="3:6" ht="13.2" x14ac:dyDescent="0.25">
      <c r="C394" s="5"/>
      <c r="D394" s="5"/>
      <c r="E394" s="5"/>
      <c r="F394" s="5"/>
    </row>
    <row r="395" spans="3:6" ht="13.2" x14ac:dyDescent="0.25">
      <c r="C395" s="5"/>
      <c r="D395" s="5"/>
      <c r="E395" s="5"/>
      <c r="F395" s="5"/>
    </row>
    <row r="396" spans="3:6" ht="13.2" x14ac:dyDescent="0.25">
      <c r="C396" s="5"/>
      <c r="D396" s="5"/>
      <c r="E396" s="5"/>
      <c r="F396" s="5"/>
    </row>
    <row r="397" spans="3:6" ht="13.2" x14ac:dyDescent="0.25">
      <c r="C397" s="5"/>
      <c r="D397" s="5"/>
      <c r="E397" s="5"/>
      <c r="F397" s="5"/>
    </row>
    <row r="398" spans="3:6" ht="13.2" x14ac:dyDescent="0.25">
      <c r="C398" s="5"/>
      <c r="D398" s="5"/>
      <c r="E398" s="5"/>
      <c r="F398" s="5"/>
    </row>
    <row r="399" spans="3:6" ht="13.2" x14ac:dyDescent="0.25">
      <c r="C399" s="5"/>
      <c r="D399" s="5"/>
      <c r="E399" s="5"/>
      <c r="F399" s="5"/>
    </row>
    <row r="400" spans="3:6" ht="13.2" x14ac:dyDescent="0.25">
      <c r="C400" s="5"/>
      <c r="D400" s="5"/>
      <c r="E400" s="5"/>
      <c r="F400" s="5"/>
    </row>
    <row r="401" spans="3:6" ht="13.2" x14ac:dyDescent="0.25">
      <c r="C401" s="5"/>
      <c r="D401" s="5"/>
      <c r="E401" s="5"/>
      <c r="F401" s="5"/>
    </row>
    <row r="402" spans="3:6" ht="13.2" x14ac:dyDescent="0.25">
      <c r="C402" s="5"/>
      <c r="D402" s="5"/>
      <c r="E402" s="5"/>
      <c r="F402" s="5"/>
    </row>
    <row r="403" spans="3:6" ht="13.2" x14ac:dyDescent="0.25">
      <c r="C403" s="5"/>
      <c r="D403" s="5"/>
      <c r="E403" s="5"/>
      <c r="F403" s="5"/>
    </row>
    <row r="404" spans="3:6" ht="13.2" x14ac:dyDescent="0.25">
      <c r="C404" s="5"/>
      <c r="D404" s="5"/>
      <c r="E404" s="5"/>
      <c r="F404" s="5"/>
    </row>
    <row r="405" spans="3:6" ht="13.2" x14ac:dyDescent="0.25">
      <c r="C405" s="5"/>
      <c r="D405" s="5"/>
      <c r="E405" s="5"/>
      <c r="F405" s="5"/>
    </row>
    <row r="406" spans="3:6" ht="13.2" x14ac:dyDescent="0.25">
      <c r="C406" s="5"/>
      <c r="D406" s="5"/>
      <c r="E406" s="5"/>
      <c r="F406" s="5"/>
    </row>
    <row r="407" spans="3:6" ht="13.2" x14ac:dyDescent="0.25">
      <c r="C407" s="5"/>
      <c r="D407" s="5"/>
      <c r="E407" s="5"/>
      <c r="F407" s="5"/>
    </row>
    <row r="408" spans="3:6" ht="13.2" x14ac:dyDescent="0.25">
      <c r="C408" s="5"/>
      <c r="D408" s="5"/>
      <c r="E408" s="5"/>
      <c r="F408" s="5"/>
    </row>
    <row r="409" spans="3:6" ht="13.2" x14ac:dyDescent="0.25">
      <c r="C409" s="5"/>
      <c r="D409" s="5"/>
      <c r="E409" s="5"/>
      <c r="F409" s="5"/>
    </row>
    <row r="410" spans="3:6" ht="13.2" x14ac:dyDescent="0.25">
      <c r="C410" s="5"/>
      <c r="D410" s="5"/>
      <c r="E410" s="5"/>
      <c r="F410" s="5"/>
    </row>
    <row r="411" spans="3:6" ht="13.2" x14ac:dyDescent="0.25">
      <c r="C411" s="5"/>
      <c r="D411" s="5"/>
      <c r="E411" s="5"/>
      <c r="F411" s="5"/>
    </row>
    <row r="412" spans="3:6" ht="13.2" x14ac:dyDescent="0.25">
      <c r="C412" s="5"/>
      <c r="D412" s="5"/>
      <c r="E412" s="5"/>
      <c r="F412" s="5"/>
    </row>
    <row r="413" spans="3:6" ht="13.2" x14ac:dyDescent="0.25">
      <c r="C413" s="5"/>
      <c r="D413" s="5"/>
      <c r="E413" s="5"/>
      <c r="F413" s="5"/>
    </row>
    <row r="414" spans="3:6" ht="13.2" x14ac:dyDescent="0.25">
      <c r="C414" s="5"/>
      <c r="D414" s="5"/>
      <c r="E414" s="5"/>
      <c r="F414" s="5"/>
    </row>
    <row r="415" spans="3:6" ht="13.2" x14ac:dyDescent="0.25">
      <c r="C415" s="5"/>
      <c r="D415" s="5"/>
      <c r="E415" s="5"/>
      <c r="F415" s="5"/>
    </row>
    <row r="416" spans="3:6" ht="13.2" x14ac:dyDescent="0.25">
      <c r="C416" s="5"/>
      <c r="D416" s="5"/>
      <c r="E416" s="5"/>
      <c r="F416" s="5"/>
    </row>
    <row r="417" spans="3:6" ht="13.2" x14ac:dyDescent="0.25">
      <c r="C417" s="5"/>
      <c r="D417" s="5"/>
      <c r="E417" s="5"/>
      <c r="F417" s="5"/>
    </row>
    <row r="418" spans="3:6" ht="13.2" x14ac:dyDescent="0.25">
      <c r="C418" s="5"/>
      <c r="D418" s="5"/>
      <c r="E418" s="5"/>
      <c r="F418" s="5"/>
    </row>
    <row r="419" spans="3:6" ht="13.2" x14ac:dyDescent="0.25">
      <c r="C419" s="5"/>
      <c r="D419" s="5"/>
      <c r="E419" s="5"/>
      <c r="F419" s="5"/>
    </row>
    <row r="420" spans="3:6" ht="13.2" x14ac:dyDescent="0.25">
      <c r="C420" s="5"/>
      <c r="D420" s="5"/>
      <c r="E420" s="5"/>
      <c r="F420" s="5"/>
    </row>
    <row r="421" spans="3:6" ht="13.2" x14ac:dyDescent="0.25">
      <c r="C421" s="5"/>
      <c r="D421" s="5"/>
      <c r="E421" s="5"/>
      <c r="F421" s="5"/>
    </row>
    <row r="422" spans="3:6" ht="13.2" x14ac:dyDescent="0.25">
      <c r="C422" s="5"/>
      <c r="D422" s="5"/>
      <c r="E422" s="5"/>
      <c r="F422" s="5"/>
    </row>
    <row r="423" spans="3:6" ht="13.2" x14ac:dyDescent="0.25">
      <c r="C423" s="5"/>
      <c r="D423" s="5"/>
      <c r="E423" s="5"/>
      <c r="F423" s="5"/>
    </row>
    <row r="424" spans="3:6" ht="13.2" x14ac:dyDescent="0.25">
      <c r="C424" s="5"/>
      <c r="D424" s="5"/>
      <c r="E424" s="5"/>
      <c r="F424" s="5"/>
    </row>
    <row r="425" spans="3:6" ht="13.2" x14ac:dyDescent="0.25">
      <c r="C425" s="5"/>
      <c r="D425" s="5"/>
      <c r="E425" s="5"/>
      <c r="F425" s="5"/>
    </row>
    <row r="426" spans="3:6" ht="13.2" x14ac:dyDescent="0.25">
      <c r="C426" s="5"/>
      <c r="D426" s="5"/>
      <c r="E426" s="5"/>
      <c r="F426" s="5"/>
    </row>
    <row r="427" spans="3:6" ht="13.2" x14ac:dyDescent="0.25">
      <c r="C427" s="5"/>
      <c r="D427" s="5"/>
      <c r="E427" s="5"/>
      <c r="F427" s="5"/>
    </row>
    <row r="428" spans="3:6" ht="13.2" x14ac:dyDescent="0.25">
      <c r="C428" s="5"/>
      <c r="D428" s="5"/>
      <c r="E428" s="5"/>
      <c r="F428" s="5"/>
    </row>
    <row r="429" spans="3:6" ht="13.2" x14ac:dyDescent="0.25">
      <c r="C429" s="5"/>
      <c r="D429" s="5"/>
      <c r="E429" s="5"/>
      <c r="F429" s="5"/>
    </row>
    <row r="430" spans="3:6" ht="13.2" x14ac:dyDescent="0.25">
      <c r="C430" s="5"/>
      <c r="D430" s="5"/>
      <c r="E430" s="5"/>
      <c r="F430" s="5"/>
    </row>
    <row r="431" spans="3:6" ht="13.2" x14ac:dyDescent="0.25">
      <c r="C431" s="5"/>
      <c r="D431" s="5"/>
      <c r="E431" s="5"/>
      <c r="F431" s="5"/>
    </row>
    <row r="432" spans="3:6" ht="13.2" x14ac:dyDescent="0.25">
      <c r="C432" s="5"/>
      <c r="D432" s="5"/>
      <c r="E432" s="5"/>
      <c r="F432" s="5"/>
    </row>
    <row r="433" spans="3:6" ht="13.2" x14ac:dyDescent="0.25">
      <c r="C433" s="5"/>
      <c r="D433" s="5"/>
      <c r="E433" s="5"/>
      <c r="F433" s="5"/>
    </row>
    <row r="434" spans="3:6" ht="13.2" x14ac:dyDescent="0.25">
      <c r="C434" s="5"/>
      <c r="D434" s="5"/>
      <c r="E434" s="5"/>
      <c r="F434" s="5"/>
    </row>
    <row r="435" spans="3:6" ht="13.2" x14ac:dyDescent="0.25">
      <c r="C435" s="5"/>
      <c r="D435" s="5"/>
      <c r="E435" s="5"/>
      <c r="F435" s="5"/>
    </row>
    <row r="436" spans="3:6" ht="13.2" x14ac:dyDescent="0.25">
      <c r="C436" s="5"/>
      <c r="D436" s="5"/>
      <c r="E436" s="5"/>
      <c r="F436" s="5"/>
    </row>
    <row r="437" spans="3:6" ht="13.2" x14ac:dyDescent="0.25">
      <c r="C437" s="5"/>
      <c r="D437" s="5"/>
      <c r="E437" s="5"/>
      <c r="F437" s="5"/>
    </row>
    <row r="438" spans="3:6" ht="13.2" x14ac:dyDescent="0.25">
      <c r="C438" s="5"/>
      <c r="D438" s="5"/>
      <c r="E438" s="5"/>
      <c r="F438" s="5"/>
    </row>
    <row r="439" spans="3:6" ht="13.2" x14ac:dyDescent="0.25">
      <c r="C439" s="5"/>
      <c r="D439" s="5"/>
      <c r="E439" s="5"/>
      <c r="F439" s="5"/>
    </row>
    <row r="440" spans="3:6" ht="13.2" x14ac:dyDescent="0.25">
      <c r="C440" s="5"/>
      <c r="D440" s="5"/>
      <c r="E440" s="5"/>
      <c r="F440" s="5"/>
    </row>
    <row r="441" spans="3:6" ht="13.2" x14ac:dyDescent="0.25">
      <c r="C441" s="5"/>
      <c r="D441" s="5"/>
      <c r="E441" s="5"/>
      <c r="F441" s="5"/>
    </row>
    <row r="442" spans="3:6" ht="13.2" x14ac:dyDescent="0.25">
      <c r="C442" s="5"/>
      <c r="D442" s="5"/>
      <c r="E442" s="5"/>
      <c r="F442" s="5"/>
    </row>
    <row r="443" spans="3:6" ht="13.2" x14ac:dyDescent="0.25">
      <c r="C443" s="5"/>
      <c r="D443" s="5"/>
      <c r="E443" s="5"/>
      <c r="F443" s="5"/>
    </row>
    <row r="444" spans="3:6" ht="13.2" x14ac:dyDescent="0.25">
      <c r="C444" s="5"/>
      <c r="D444" s="5"/>
      <c r="E444" s="5"/>
      <c r="F444" s="5"/>
    </row>
    <row r="445" spans="3:6" ht="13.2" x14ac:dyDescent="0.25">
      <c r="C445" s="5"/>
      <c r="D445" s="5"/>
      <c r="E445" s="5"/>
      <c r="F445" s="5"/>
    </row>
    <row r="446" spans="3:6" ht="13.2" x14ac:dyDescent="0.25">
      <c r="C446" s="5"/>
      <c r="D446" s="5"/>
      <c r="E446" s="5"/>
      <c r="F446" s="5"/>
    </row>
    <row r="447" spans="3:6" ht="13.2" x14ac:dyDescent="0.25">
      <c r="C447" s="5"/>
      <c r="D447" s="5"/>
      <c r="E447" s="5"/>
      <c r="F447" s="5"/>
    </row>
    <row r="448" spans="3:6" ht="13.2" x14ac:dyDescent="0.25">
      <c r="C448" s="5"/>
      <c r="D448" s="5"/>
      <c r="E448" s="5"/>
      <c r="F448" s="5"/>
    </row>
    <row r="449" spans="3:6" ht="13.2" x14ac:dyDescent="0.25">
      <c r="C449" s="5"/>
      <c r="D449" s="5"/>
      <c r="E449" s="5"/>
      <c r="F449" s="5"/>
    </row>
    <row r="450" spans="3:6" ht="13.2" x14ac:dyDescent="0.25">
      <c r="C450" s="5"/>
      <c r="D450" s="5"/>
      <c r="E450" s="5"/>
      <c r="F450" s="5"/>
    </row>
    <row r="451" spans="3:6" ht="13.2" x14ac:dyDescent="0.25">
      <c r="C451" s="5"/>
      <c r="D451" s="5"/>
      <c r="E451" s="5"/>
      <c r="F451" s="5"/>
    </row>
    <row r="452" spans="3:6" ht="13.2" x14ac:dyDescent="0.25">
      <c r="C452" s="5"/>
      <c r="D452" s="5"/>
      <c r="E452" s="5"/>
      <c r="F452" s="5"/>
    </row>
    <row r="453" spans="3:6" ht="13.2" x14ac:dyDescent="0.25">
      <c r="C453" s="5"/>
      <c r="D453" s="5"/>
      <c r="E453" s="5"/>
      <c r="F453" s="5"/>
    </row>
    <row r="454" spans="3:6" ht="13.2" x14ac:dyDescent="0.25">
      <c r="C454" s="5"/>
      <c r="D454" s="5"/>
      <c r="E454" s="5"/>
      <c r="F454" s="5"/>
    </row>
    <row r="455" spans="3:6" ht="13.2" x14ac:dyDescent="0.25">
      <c r="C455" s="5"/>
      <c r="D455" s="5"/>
      <c r="E455" s="5"/>
      <c r="F455" s="5"/>
    </row>
    <row r="456" spans="3:6" ht="13.2" x14ac:dyDescent="0.25">
      <c r="C456" s="5"/>
      <c r="D456" s="5"/>
      <c r="E456" s="5"/>
      <c r="F456" s="5"/>
    </row>
    <row r="457" spans="3:6" ht="13.2" x14ac:dyDescent="0.25">
      <c r="C457" s="5"/>
      <c r="D457" s="5"/>
      <c r="E457" s="5"/>
      <c r="F457" s="5"/>
    </row>
    <row r="458" spans="3:6" ht="13.2" x14ac:dyDescent="0.25">
      <c r="C458" s="5"/>
      <c r="D458" s="5"/>
      <c r="E458" s="5"/>
      <c r="F458" s="5"/>
    </row>
    <row r="459" spans="3:6" ht="13.2" x14ac:dyDescent="0.25">
      <c r="C459" s="5"/>
      <c r="D459" s="5"/>
      <c r="E459" s="5"/>
      <c r="F459" s="5"/>
    </row>
    <row r="460" spans="3:6" ht="13.2" x14ac:dyDescent="0.25">
      <c r="C460" s="5"/>
      <c r="D460" s="5"/>
      <c r="E460" s="5"/>
      <c r="F460" s="5"/>
    </row>
    <row r="461" spans="3:6" ht="13.2" x14ac:dyDescent="0.25">
      <c r="C461" s="5"/>
      <c r="D461" s="5"/>
      <c r="E461" s="5"/>
      <c r="F461" s="5"/>
    </row>
    <row r="462" spans="3:6" ht="13.2" x14ac:dyDescent="0.25">
      <c r="C462" s="5"/>
      <c r="D462" s="5"/>
      <c r="E462" s="5"/>
      <c r="F462" s="5"/>
    </row>
    <row r="463" spans="3:6" ht="13.2" x14ac:dyDescent="0.25">
      <c r="C463" s="5"/>
      <c r="D463" s="5"/>
      <c r="E463" s="5"/>
      <c r="F463" s="5"/>
    </row>
    <row r="464" spans="3:6" ht="13.2" x14ac:dyDescent="0.25">
      <c r="C464" s="5"/>
      <c r="D464" s="5"/>
      <c r="E464" s="5"/>
      <c r="F464" s="5"/>
    </row>
    <row r="465" spans="3:6" ht="13.2" x14ac:dyDescent="0.25">
      <c r="C465" s="5"/>
      <c r="D465" s="5"/>
      <c r="E465" s="5"/>
      <c r="F465" s="5"/>
    </row>
    <row r="466" spans="3:6" ht="13.2" x14ac:dyDescent="0.25">
      <c r="C466" s="5"/>
      <c r="D466" s="5"/>
      <c r="E466" s="5"/>
      <c r="F466" s="5"/>
    </row>
    <row r="467" spans="3:6" ht="13.2" x14ac:dyDescent="0.25">
      <c r="C467" s="5"/>
      <c r="D467" s="5"/>
      <c r="E467" s="5"/>
      <c r="F467" s="5"/>
    </row>
    <row r="468" spans="3:6" ht="13.2" x14ac:dyDescent="0.25">
      <c r="C468" s="5"/>
      <c r="D468" s="5"/>
      <c r="E468" s="5"/>
      <c r="F468" s="5"/>
    </row>
    <row r="469" spans="3:6" ht="13.2" x14ac:dyDescent="0.25">
      <c r="C469" s="5"/>
      <c r="D469" s="5"/>
      <c r="E469" s="5"/>
      <c r="F469" s="5"/>
    </row>
    <row r="470" spans="3:6" ht="13.2" x14ac:dyDescent="0.25">
      <c r="C470" s="5"/>
      <c r="D470" s="5"/>
      <c r="E470" s="5"/>
      <c r="F470" s="5"/>
    </row>
    <row r="471" spans="3:6" ht="13.2" x14ac:dyDescent="0.25">
      <c r="C471" s="5"/>
      <c r="D471" s="5"/>
      <c r="E471" s="5"/>
      <c r="F471" s="5"/>
    </row>
    <row r="472" spans="3:6" ht="13.2" x14ac:dyDescent="0.25">
      <c r="C472" s="5"/>
      <c r="D472" s="5"/>
      <c r="E472" s="5"/>
      <c r="F472" s="5"/>
    </row>
    <row r="473" spans="3:6" ht="13.2" x14ac:dyDescent="0.25">
      <c r="C473" s="5"/>
      <c r="D473" s="5"/>
      <c r="E473" s="5"/>
      <c r="F473" s="5"/>
    </row>
    <row r="474" spans="3:6" ht="13.2" x14ac:dyDescent="0.25">
      <c r="C474" s="5"/>
      <c r="D474" s="5"/>
      <c r="E474" s="5"/>
      <c r="F474" s="5"/>
    </row>
    <row r="475" spans="3:6" ht="13.2" x14ac:dyDescent="0.25">
      <c r="C475" s="5"/>
      <c r="D475" s="5"/>
      <c r="E475" s="5"/>
      <c r="F475" s="5"/>
    </row>
    <row r="476" spans="3:6" ht="13.2" x14ac:dyDescent="0.25">
      <c r="C476" s="5"/>
      <c r="D476" s="5"/>
      <c r="E476" s="5"/>
      <c r="F476" s="5"/>
    </row>
    <row r="477" spans="3:6" ht="13.2" x14ac:dyDescent="0.25">
      <c r="C477" s="5"/>
      <c r="D477" s="5"/>
      <c r="E477" s="5"/>
      <c r="F477" s="5"/>
    </row>
    <row r="478" spans="3:6" ht="13.2" x14ac:dyDescent="0.25">
      <c r="C478" s="5"/>
      <c r="D478" s="5"/>
      <c r="E478" s="5"/>
      <c r="F478" s="5"/>
    </row>
    <row r="479" spans="3:6" ht="13.2" x14ac:dyDescent="0.25">
      <c r="C479" s="5"/>
      <c r="D479" s="5"/>
      <c r="E479" s="5"/>
      <c r="F479" s="5"/>
    </row>
    <row r="480" spans="3:6" ht="13.2" x14ac:dyDescent="0.25">
      <c r="C480" s="5"/>
      <c r="D480" s="5"/>
      <c r="E480" s="5"/>
      <c r="F480" s="5"/>
    </row>
    <row r="481" spans="3:6" ht="13.2" x14ac:dyDescent="0.25">
      <c r="C481" s="5"/>
      <c r="D481" s="5"/>
      <c r="E481" s="5"/>
      <c r="F481" s="5"/>
    </row>
    <row r="482" spans="3:6" ht="13.2" x14ac:dyDescent="0.25">
      <c r="C482" s="5"/>
      <c r="D482" s="5"/>
      <c r="E482" s="5"/>
      <c r="F482" s="5"/>
    </row>
    <row r="483" spans="3:6" ht="13.2" x14ac:dyDescent="0.25">
      <c r="C483" s="5"/>
      <c r="D483" s="5"/>
      <c r="E483" s="5"/>
      <c r="F483" s="5"/>
    </row>
    <row r="484" spans="3:6" ht="13.2" x14ac:dyDescent="0.25">
      <c r="C484" s="5"/>
      <c r="D484" s="5"/>
      <c r="E484" s="5"/>
      <c r="F484" s="5"/>
    </row>
    <row r="485" spans="3:6" ht="13.2" x14ac:dyDescent="0.25">
      <c r="C485" s="5"/>
      <c r="D485" s="5"/>
      <c r="E485" s="5"/>
      <c r="F485" s="5"/>
    </row>
    <row r="486" spans="3:6" ht="13.2" x14ac:dyDescent="0.25">
      <c r="C486" s="5"/>
      <c r="D486" s="5"/>
      <c r="E486" s="5"/>
      <c r="F486" s="5"/>
    </row>
    <row r="487" spans="3:6" ht="13.2" x14ac:dyDescent="0.25">
      <c r="C487" s="5"/>
      <c r="D487" s="5"/>
      <c r="E487" s="5"/>
      <c r="F487" s="5"/>
    </row>
    <row r="488" spans="3:6" ht="13.2" x14ac:dyDescent="0.25">
      <c r="C488" s="5"/>
      <c r="D488" s="5"/>
      <c r="E488" s="5"/>
      <c r="F488" s="5"/>
    </row>
    <row r="489" spans="3:6" ht="13.2" x14ac:dyDescent="0.25">
      <c r="C489" s="5"/>
      <c r="D489" s="5"/>
      <c r="E489" s="5"/>
      <c r="F489" s="5"/>
    </row>
    <row r="490" spans="3:6" ht="13.2" x14ac:dyDescent="0.25">
      <c r="C490" s="5"/>
      <c r="D490" s="5"/>
      <c r="E490" s="5"/>
      <c r="F490" s="5"/>
    </row>
    <row r="491" spans="3:6" ht="13.2" x14ac:dyDescent="0.25">
      <c r="C491" s="5"/>
      <c r="D491" s="5"/>
      <c r="E491" s="5"/>
      <c r="F491" s="5"/>
    </row>
    <row r="492" spans="3:6" ht="13.2" x14ac:dyDescent="0.25">
      <c r="C492" s="5"/>
      <c r="D492" s="5"/>
      <c r="E492" s="5"/>
      <c r="F492" s="5"/>
    </row>
    <row r="493" spans="3:6" ht="13.2" x14ac:dyDescent="0.25">
      <c r="C493" s="5"/>
      <c r="D493" s="5"/>
      <c r="E493" s="5"/>
      <c r="F493" s="5"/>
    </row>
    <row r="494" spans="3:6" ht="13.2" x14ac:dyDescent="0.25">
      <c r="C494" s="5"/>
      <c r="D494" s="5"/>
      <c r="E494" s="5"/>
      <c r="F494" s="5"/>
    </row>
    <row r="495" spans="3:6" ht="13.2" x14ac:dyDescent="0.25">
      <c r="C495" s="5"/>
      <c r="D495" s="5"/>
      <c r="E495" s="5"/>
      <c r="F495" s="5"/>
    </row>
    <row r="496" spans="3:6" ht="13.2" x14ac:dyDescent="0.25">
      <c r="C496" s="5"/>
      <c r="D496" s="5"/>
      <c r="E496" s="5"/>
      <c r="F496" s="5"/>
    </row>
    <row r="497" spans="3:6" ht="13.2" x14ac:dyDescent="0.25">
      <c r="C497" s="5"/>
      <c r="D497" s="5"/>
      <c r="E497" s="5"/>
      <c r="F497" s="5"/>
    </row>
    <row r="498" spans="3:6" ht="13.2" x14ac:dyDescent="0.25">
      <c r="C498" s="5"/>
      <c r="D498" s="5"/>
      <c r="E498" s="5"/>
      <c r="F498" s="5"/>
    </row>
    <row r="499" spans="3:6" ht="13.2" x14ac:dyDescent="0.25">
      <c r="C499" s="5"/>
      <c r="D499" s="5"/>
      <c r="E499" s="5"/>
      <c r="F499" s="5"/>
    </row>
    <row r="500" spans="3:6" ht="13.2" x14ac:dyDescent="0.25">
      <c r="C500" s="5"/>
      <c r="D500" s="5"/>
      <c r="E500" s="5"/>
      <c r="F500" s="5"/>
    </row>
    <row r="501" spans="3:6" ht="13.2" x14ac:dyDescent="0.25">
      <c r="C501" s="5"/>
      <c r="D501" s="5"/>
      <c r="E501" s="5"/>
      <c r="F501" s="5"/>
    </row>
    <row r="502" spans="3:6" ht="13.2" x14ac:dyDescent="0.25">
      <c r="C502" s="5"/>
      <c r="D502" s="5"/>
      <c r="E502" s="5"/>
      <c r="F502" s="5"/>
    </row>
    <row r="503" spans="3:6" ht="13.2" x14ac:dyDescent="0.25">
      <c r="C503" s="5"/>
      <c r="D503" s="5"/>
      <c r="E503" s="5"/>
      <c r="F503" s="5"/>
    </row>
    <row r="504" spans="3:6" ht="13.2" x14ac:dyDescent="0.25">
      <c r="C504" s="5"/>
      <c r="D504" s="5"/>
      <c r="E504" s="5"/>
      <c r="F504" s="5"/>
    </row>
    <row r="505" spans="3:6" ht="13.2" x14ac:dyDescent="0.25">
      <c r="C505" s="5"/>
      <c r="D505" s="5"/>
      <c r="E505" s="5"/>
      <c r="F505" s="5"/>
    </row>
    <row r="506" spans="3:6" ht="13.2" x14ac:dyDescent="0.25">
      <c r="C506" s="5"/>
      <c r="D506" s="5"/>
      <c r="E506" s="5"/>
      <c r="F506" s="5"/>
    </row>
    <row r="507" spans="3:6" ht="13.2" x14ac:dyDescent="0.25">
      <c r="C507" s="5"/>
      <c r="D507" s="5"/>
      <c r="E507" s="5"/>
      <c r="F507" s="5"/>
    </row>
    <row r="508" spans="3:6" ht="13.2" x14ac:dyDescent="0.25">
      <c r="C508" s="5"/>
      <c r="D508" s="5"/>
      <c r="E508" s="5"/>
      <c r="F508" s="5"/>
    </row>
    <row r="509" spans="3:6" ht="13.2" x14ac:dyDescent="0.25">
      <c r="C509" s="5"/>
      <c r="D509" s="5"/>
      <c r="E509" s="5"/>
      <c r="F509" s="5"/>
    </row>
    <row r="510" spans="3:6" ht="13.2" x14ac:dyDescent="0.25">
      <c r="C510" s="5"/>
      <c r="D510" s="5"/>
      <c r="E510" s="5"/>
      <c r="F510" s="5"/>
    </row>
    <row r="511" spans="3:6" ht="13.2" x14ac:dyDescent="0.25">
      <c r="C511" s="5"/>
      <c r="D511" s="5"/>
      <c r="E511" s="5"/>
      <c r="F511" s="5"/>
    </row>
    <row r="512" spans="3:6" ht="13.2" x14ac:dyDescent="0.25">
      <c r="C512" s="5"/>
      <c r="D512" s="5"/>
      <c r="E512" s="5"/>
      <c r="F512" s="5"/>
    </row>
    <row r="513" spans="3:6" ht="13.2" x14ac:dyDescent="0.25">
      <c r="C513" s="5"/>
      <c r="D513" s="5"/>
      <c r="E513" s="5"/>
      <c r="F513" s="5"/>
    </row>
    <row r="514" spans="3:6" ht="13.2" x14ac:dyDescent="0.25">
      <c r="C514" s="5"/>
      <c r="D514" s="5"/>
      <c r="E514" s="5"/>
      <c r="F514" s="5"/>
    </row>
    <row r="515" spans="3:6" ht="13.2" x14ac:dyDescent="0.25">
      <c r="C515" s="5"/>
      <c r="D515" s="5"/>
      <c r="E515" s="5"/>
      <c r="F515" s="5"/>
    </row>
    <row r="516" spans="3:6" ht="13.2" x14ac:dyDescent="0.25">
      <c r="C516" s="5"/>
      <c r="D516" s="5"/>
      <c r="E516" s="5"/>
      <c r="F516" s="5"/>
    </row>
    <row r="517" spans="3:6" ht="13.2" x14ac:dyDescent="0.25">
      <c r="C517" s="5"/>
      <c r="D517" s="5"/>
      <c r="E517" s="5"/>
      <c r="F517" s="5"/>
    </row>
    <row r="518" spans="3:6" ht="13.2" x14ac:dyDescent="0.25">
      <c r="C518" s="5"/>
      <c r="D518" s="5"/>
      <c r="E518" s="5"/>
      <c r="F518" s="5"/>
    </row>
    <row r="519" spans="3:6" ht="13.2" x14ac:dyDescent="0.25">
      <c r="C519" s="5"/>
      <c r="D519" s="5"/>
      <c r="E519" s="5"/>
      <c r="F519" s="5"/>
    </row>
    <row r="520" spans="3:6" ht="13.2" x14ac:dyDescent="0.25">
      <c r="C520" s="5"/>
      <c r="D520" s="5"/>
      <c r="E520" s="5"/>
      <c r="F520" s="5"/>
    </row>
    <row r="521" spans="3:6" ht="13.2" x14ac:dyDescent="0.25">
      <c r="C521" s="5"/>
      <c r="D521" s="5"/>
      <c r="E521" s="5"/>
      <c r="F521" s="5"/>
    </row>
    <row r="522" spans="3:6" ht="13.2" x14ac:dyDescent="0.25">
      <c r="C522" s="5"/>
      <c r="D522" s="5"/>
      <c r="E522" s="5"/>
      <c r="F522" s="5"/>
    </row>
    <row r="523" spans="3:6" ht="13.2" x14ac:dyDescent="0.25">
      <c r="C523" s="5"/>
      <c r="D523" s="5"/>
      <c r="E523" s="5"/>
      <c r="F523" s="5"/>
    </row>
    <row r="524" spans="3:6" ht="13.2" x14ac:dyDescent="0.25">
      <c r="C524" s="5"/>
      <c r="D524" s="5"/>
      <c r="E524" s="5"/>
      <c r="F524" s="5"/>
    </row>
    <row r="525" spans="3:6" ht="13.2" x14ac:dyDescent="0.25">
      <c r="C525" s="5"/>
      <c r="D525" s="5"/>
      <c r="E525" s="5"/>
      <c r="F525" s="5"/>
    </row>
    <row r="526" spans="3:6" ht="13.2" x14ac:dyDescent="0.25">
      <c r="C526" s="5"/>
      <c r="D526" s="5"/>
      <c r="E526" s="5"/>
      <c r="F526" s="5"/>
    </row>
    <row r="527" spans="3:6" ht="13.2" x14ac:dyDescent="0.25">
      <c r="C527" s="5"/>
      <c r="D527" s="5"/>
      <c r="E527" s="5"/>
      <c r="F527" s="5"/>
    </row>
    <row r="528" spans="3:6" ht="13.2" x14ac:dyDescent="0.25">
      <c r="C528" s="5"/>
      <c r="D528" s="5"/>
      <c r="E528" s="5"/>
      <c r="F528" s="5"/>
    </row>
    <row r="529" spans="3:6" ht="13.2" x14ac:dyDescent="0.25">
      <c r="C529" s="5"/>
      <c r="D529" s="5"/>
      <c r="E529" s="5"/>
      <c r="F529" s="5"/>
    </row>
    <row r="530" spans="3:6" ht="13.2" x14ac:dyDescent="0.25">
      <c r="C530" s="5"/>
      <c r="D530" s="5"/>
      <c r="E530" s="5"/>
      <c r="F530" s="5"/>
    </row>
    <row r="531" spans="3:6" ht="13.2" x14ac:dyDescent="0.25">
      <c r="C531" s="5"/>
      <c r="D531" s="5"/>
      <c r="E531" s="5"/>
      <c r="F531" s="5"/>
    </row>
    <row r="532" spans="3:6" ht="13.2" x14ac:dyDescent="0.25">
      <c r="C532" s="5"/>
      <c r="D532" s="5"/>
      <c r="E532" s="5"/>
      <c r="F532" s="5"/>
    </row>
    <row r="533" spans="3:6" ht="13.2" x14ac:dyDescent="0.25">
      <c r="C533" s="5"/>
      <c r="D533" s="5"/>
      <c r="E533" s="5"/>
      <c r="F533" s="5"/>
    </row>
    <row r="534" spans="3:6" ht="13.2" x14ac:dyDescent="0.25">
      <c r="C534" s="5"/>
      <c r="D534" s="5"/>
      <c r="E534" s="5"/>
      <c r="F534" s="5"/>
    </row>
    <row r="535" spans="3:6" ht="13.2" x14ac:dyDescent="0.25">
      <c r="C535" s="5"/>
      <c r="D535" s="5"/>
      <c r="E535" s="5"/>
      <c r="F535" s="5"/>
    </row>
    <row r="536" spans="3:6" ht="13.2" x14ac:dyDescent="0.25">
      <c r="C536" s="5"/>
      <c r="D536" s="5"/>
      <c r="E536" s="5"/>
      <c r="F536" s="5"/>
    </row>
    <row r="537" spans="3:6" ht="13.2" x14ac:dyDescent="0.25">
      <c r="C537" s="5"/>
      <c r="D537" s="5"/>
      <c r="E537" s="5"/>
      <c r="F537" s="5"/>
    </row>
    <row r="538" spans="3:6" ht="13.2" x14ac:dyDescent="0.25">
      <c r="C538" s="5"/>
      <c r="D538" s="5"/>
      <c r="E538" s="5"/>
      <c r="F538" s="5"/>
    </row>
    <row r="539" spans="3:6" ht="13.2" x14ac:dyDescent="0.25">
      <c r="C539" s="5"/>
      <c r="D539" s="5"/>
      <c r="E539" s="5"/>
      <c r="F539" s="5"/>
    </row>
    <row r="540" spans="3:6" ht="13.2" x14ac:dyDescent="0.25">
      <c r="C540" s="5"/>
      <c r="D540" s="5"/>
      <c r="E540" s="5"/>
      <c r="F540" s="5"/>
    </row>
    <row r="541" spans="3:6" ht="13.2" x14ac:dyDescent="0.25">
      <c r="C541" s="5"/>
      <c r="D541" s="5"/>
      <c r="E541" s="5"/>
      <c r="F541" s="5"/>
    </row>
    <row r="542" spans="3:6" ht="13.2" x14ac:dyDescent="0.25">
      <c r="C542" s="5"/>
      <c r="D542" s="5"/>
      <c r="E542" s="5"/>
      <c r="F542" s="5"/>
    </row>
    <row r="543" spans="3:6" ht="13.2" x14ac:dyDescent="0.25">
      <c r="C543" s="5"/>
      <c r="D543" s="5"/>
      <c r="E543" s="5"/>
      <c r="F543" s="5"/>
    </row>
    <row r="544" spans="3:6" ht="13.2" x14ac:dyDescent="0.25">
      <c r="C544" s="5"/>
      <c r="D544" s="5"/>
      <c r="E544" s="5"/>
      <c r="F544" s="5"/>
    </row>
    <row r="545" spans="3:6" ht="13.2" x14ac:dyDescent="0.25">
      <c r="C545" s="5"/>
      <c r="D545" s="5"/>
      <c r="E545" s="5"/>
      <c r="F545" s="5"/>
    </row>
    <row r="546" spans="3:6" ht="13.2" x14ac:dyDescent="0.25">
      <c r="C546" s="5"/>
      <c r="D546" s="5"/>
      <c r="E546" s="5"/>
      <c r="F546" s="5"/>
    </row>
    <row r="547" spans="3:6" ht="13.2" x14ac:dyDescent="0.25">
      <c r="C547" s="5"/>
      <c r="D547" s="5"/>
      <c r="E547" s="5"/>
      <c r="F547" s="5"/>
    </row>
    <row r="548" spans="3:6" ht="13.2" x14ac:dyDescent="0.25">
      <c r="C548" s="5"/>
      <c r="D548" s="5"/>
      <c r="E548" s="5"/>
      <c r="F548" s="5"/>
    </row>
    <row r="549" spans="3:6" ht="13.2" x14ac:dyDescent="0.25">
      <c r="C549" s="5"/>
      <c r="D549" s="5"/>
      <c r="E549" s="5"/>
      <c r="F549" s="5"/>
    </row>
    <row r="550" spans="3:6" ht="13.2" x14ac:dyDescent="0.25">
      <c r="C550" s="5"/>
      <c r="D550" s="5"/>
      <c r="E550" s="5"/>
      <c r="F550" s="5"/>
    </row>
    <row r="551" spans="3:6" ht="13.2" x14ac:dyDescent="0.25">
      <c r="C551" s="5"/>
      <c r="D551" s="5"/>
      <c r="E551" s="5"/>
      <c r="F551" s="5"/>
    </row>
    <row r="552" spans="3:6" ht="13.2" x14ac:dyDescent="0.25">
      <c r="C552" s="5"/>
      <c r="D552" s="5"/>
      <c r="E552" s="5"/>
      <c r="F552" s="5"/>
    </row>
    <row r="553" spans="3:6" ht="13.2" x14ac:dyDescent="0.25">
      <c r="C553" s="5"/>
      <c r="D553" s="5"/>
      <c r="E553" s="5"/>
      <c r="F553" s="5"/>
    </row>
    <row r="554" spans="3:6" ht="13.2" x14ac:dyDescent="0.25">
      <c r="C554" s="5"/>
      <c r="D554" s="5"/>
      <c r="E554" s="5"/>
      <c r="F554" s="5"/>
    </row>
    <row r="555" spans="3:6" ht="13.2" x14ac:dyDescent="0.25">
      <c r="C555" s="5"/>
      <c r="D555" s="5"/>
      <c r="E555" s="5"/>
      <c r="F555" s="5"/>
    </row>
    <row r="556" spans="3:6" ht="13.2" x14ac:dyDescent="0.25">
      <c r="C556" s="5"/>
      <c r="D556" s="5"/>
      <c r="E556" s="5"/>
      <c r="F556" s="5"/>
    </row>
    <row r="557" spans="3:6" ht="13.2" x14ac:dyDescent="0.25">
      <c r="C557" s="5"/>
      <c r="D557" s="5"/>
      <c r="E557" s="5"/>
      <c r="F557" s="5"/>
    </row>
    <row r="558" spans="3:6" ht="13.2" x14ac:dyDescent="0.25">
      <c r="C558" s="5"/>
      <c r="D558" s="5"/>
      <c r="E558" s="5"/>
      <c r="F558" s="5"/>
    </row>
    <row r="559" spans="3:6" ht="13.2" x14ac:dyDescent="0.25">
      <c r="C559" s="5"/>
      <c r="D559" s="5"/>
      <c r="E559" s="5"/>
      <c r="F559" s="5"/>
    </row>
    <row r="560" spans="3:6" ht="13.2" x14ac:dyDescent="0.25">
      <c r="C560" s="5"/>
      <c r="D560" s="5"/>
      <c r="E560" s="5"/>
      <c r="F560" s="5"/>
    </row>
    <row r="561" spans="3:6" ht="13.2" x14ac:dyDescent="0.25">
      <c r="C561" s="5"/>
      <c r="D561" s="5"/>
      <c r="E561" s="5"/>
      <c r="F561" s="5"/>
    </row>
    <row r="562" spans="3:6" ht="13.2" x14ac:dyDescent="0.25">
      <c r="C562" s="5"/>
      <c r="D562" s="5"/>
      <c r="E562" s="5"/>
      <c r="F562" s="5"/>
    </row>
    <row r="563" spans="3:6" ht="13.2" x14ac:dyDescent="0.25">
      <c r="C563" s="5"/>
      <c r="D563" s="5"/>
      <c r="E563" s="5"/>
      <c r="F563" s="5"/>
    </row>
    <row r="564" spans="3:6" ht="13.2" x14ac:dyDescent="0.25">
      <c r="C564" s="5"/>
      <c r="D564" s="5"/>
      <c r="E564" s="5"/>
      <c r="F564" s="5"/>
    </row>
    <row r="565" spans="3:6" ht="13.2" x14ac:dyDescent="0.25">
      <c r="C565" s="5"/>
      <c r="D565" s="5"/>
      <c r="E565" s="5"/>
      <c r="F565" s="5"/>
    </row>
    <row r="566" spans="3:6" ht="13.2" x14ac:dyDescent="0.25">
      <c r="C566" s="5"/>
      <c r="D566" s="5"/>
      <c r="E566" s="5"/>
      <c r="F566" s="5"/>
    </row>
    <row r="567" spans="3:6" ht="13.2" x14ac:dyDescent="0.25">
      <c r="C567" s="5"/>
      <c r="D567" s="5"/>
      <c r="E567" s="5"/>
      <c r="F567" s="5"/>
    </row>
    <row r="568" spans="3:6" ht="13.2" x14ac:dyDescent="0.25">
      <c r="C568" s="5"/>
      <c r="D568" s="5"/>
      <c r="E568" s="5"/>
      <c r="F568" s="5"/>
    </row>
    <row r="569" spans="3:6" ht="13.2" x14ac:dyDescent="0.25">
      <c r="C569" s="5"/>
      <c r="D569" s="5"/>
      <c r="E569" s="5"/>
      <c r="F569" s="5"/>
    </row>
    <row r="570" spans="3:6" ht="13.2" x14ac:dyDescent="0.25">
      <c r="C570" s="5"/>
      <c r="D570" s="5"/>
      <c r="E570" s="5"/>
      <c r="F570" s="5"/>
    </row>
    <row r="571" spans="3:6" ht="13.2" x14ac:dyDescent="0.25">
      <c r="C571" s="5"/>
      <c r="D571" s="5"/>
      <c r="E571" s="5"/>
      <c r="F571" s="5"/>
    </row>
    <row r="572" spans="3:6" ht="13.2" x14ac:dyDescent="0.25">
      <c r="C572" s="5"/>
      <c r="D572" s="5"/>
      <c r="E572" s="5"/>
      <c r="F572" s="5"/>
    </row>
    <row r="573" spans="3:6" ht="13.2" x14ac:dyDescent="0.25">
      <c r="C573" s="5"/>
      <c r="D573" s="5"/>
      <c r="E573" s="5"/>
      <c r="F573" s="5"/>
    </row>
    <row r="574" spans="3:6" ht="13.2" x14ac:dyDescent="0.25">
      <c r="C574" s="5"/>
      <c r="D574" s="5"/>
      <c r="E574" s="5"/>
      <c r="F574" s="5"/>
    </row>
    <row r="575" spans="3:6" ht="13.2" x14ac:dyDescent="0.25">
      <c r="C575" s="5"/>
      <c r="D575" s="5"/>
      <c r="E575" s="5"/>
      <c r="F575" s="5"/>
    </row>
    <row r="576" spans="3:6" ht="13.2" x14ac:dyDescent="0.25">
      <c r="C576" s="5"/>
      <c r="D576" s="5"/>
      <c r="E576" s="5"/>
      <c r="F576" s="5"/>
    </row>
    <row r="577" spans="3:6" ht="13.2" x14ac:dyDescent="0.25">
      <c r="C577" s="5"/>
      <c r="D577" s="5"/>
      <c r="E577" s="5"/>
      <c r="F577" s="5"/>
    </row>
    <row r="578" spans="3:6" ht="13.2" x14ac:dyDescent="0.25">
      <c r="C578" s="5"/>
      <c r="D578" s="5"/>
      <c r="E578" s="5"/>
      <c r="F578" s="5"/>
    </row>
    <row r="579" spans="3:6" ht="13.2" x14ac:dyDescent="0.25">
      <c r="C579" s="5"/>
      <c r="D579" s="5"/>
      <c r="E579" s="5"/>
      <c r="F579" s="5"/>
    </row>
    <row r="580" spans="3:6" ht="13.2" x14ac:dyDescent="0.25">
      <c r="C580" s="5"/>
      <c r="D580" s="5"/>
      <c r="E580" s="5"/>
      <c r="F580" s="5"/>
    </row>
    <row r="581" spans="3:6" ht="13.2" x14ac:dyDescent="0.25">
      <c r="C581" s="5"/>
      <c r="D581" s="5"/>
      <c r="E581" s="5"/>
      <c r="F581" s="5"/>
    </row>
    <row r="582" spans="3:6" ht="13.2" x14ac:dyDescent="0.25">
      <c r="C582" s="5"/>
      <c r="D582" s="5"/>
      <c r="E582" s="5"/>
      <c r="F582" s="5"/>
    </row>
    <row r="583" spans="3:6" ht="13.2" x14ac:dyDescent="0.25">
      <c r="C583" s="5"/>
      <c r="D583" s="5"/>
      <c r="E583" s="5"/>
      <c r="F583" s="5"/>
    </row>
    <row r="584" spans="3:6" ht="13.2" x14ac:dyDescent="0.25">
      <c r="C584" s="5"/>
      <c r="D584" s="5"/>
      <c r="E584" s="5"/>
      <c r="F584" s="5"/>
    </row>
    <row r="585" spans="3:6" ht="13.2" x14ac:dyDescent="0.25">
      <c r="C585" s="5"/>
      <c r="D585" s="5"/>
      <c r="E585" s="5"/>
      <c r="F585" s="5"/>
    </row>
    <row r="586" spans="3:6" ht="13.2" x14ac:dyDescent="0.25">
      <c r="C586" s="5"/>
      <c r="D586" s="5"/>
      <c r="E586" s="5"/>
      <c r="F586" s="5"/>
    </row>
    <row r="587" spans="3:6" ht="13.2" x14ac:dyDescent="0.25">
      <c r="C587" s="5"/>
      <c r="D587" s="5"/>
      <c r="E587" s="5"/>
      <c r="F587" s="5"/>
    </row>
    <row r="588" spans="3:6" ht="13.2" x14ac:dyDescent="0.25">
      <c r="C588" s="5"/>
      <c r="D588" s="5"/>
      <c r="E588" s="5"/>
      <c r="F588" s="5"/>
    </row>
    <row r="589" spans="3:6" ht="13.2" x14ac:dyDescent="0.25">
      <c r="C589" s="5"/>
      <c r="D589" s="5"/>
      <c r="E589" s="5"/>
      <c r="F589" s="5"/>
    </row>
    <row r="590" spans="3:6" ht="13.2" x14ac:dyDescent="0.25">
      <c r="C590" s="5"/>
      <c r="D590" s="5"/>
      <c r="E590" s="5"/>
      <c r="F590" s="5"/>
    </row>
    <row r="591" spans="3:6" ht="13.2" x14ac:dyDescent="0.25">
      <c r="C591" s="5"/>
      <c r="D591" s="5"/>
      <c r="E591" s="5"/>
      <c r="F591" s="5"/>
    </row>
    <row r="592" spans="3:6" ht="13.2" x14ac:dyDescent="0.25">
      <c r="C592" s="5"/>
      <c r="D592" s="5"/>
      <c r="E592" s="5"/>
      <c r="F592" s="5"/>
    </row>
    <row r="593" spans="3:6" ht="13.2" x14ac:dyDescent="0.25">
      <c r="C593" s="5"/>
      <c r="D593" s="5"/>
      <c r="E593" s="5"/>
      <c r="F593" s="5"/>
    </row>
    <row r="594" spans="3:6" ht="13.2" x14ac:dyDescent="0.25">
      <c r="C594" s="5"/>
      <c r="D594" s="5"/>
      <c r="E594" s="5"/>
      <c r="F594" s="5"/>
    </row>
    <row r="595" spans="3:6" ht="13.2" x14ac:dyDescent="0.25">
      <c r="C595" s="5"/>
      <c r="D595" s="5"/>
      <c r="E595" s="5"/>
      <c r="F595" s="5"/>
    </row>
    <row r="596" spans="3:6" ht="13.2" x14ac:dyDescent="0.25">
      <c r="C596" s="5"/>
      <c r="D596" s="5"/>
      <c r="E596" s="5"/>
      <c r="F596" s="5"/>
    </row>
    <row r="597" spans="3:6" ht="13.2" x14ac:dyDescent="0.25">
      <c r="C597" s="5"/>
      <c r="D597" s="5"/>
      <c r="E597" s="5"/>
      <c r="F597" s="5"/>
    </row>
    <row r="598" spans="3:6" ht="13.2" x14ac:dyDescent="0.25">
      <c r="C598" s="5"/>
      <c r="D598" s="5"/>
      <c r="E598" s="5"/>
      <c r="F598" s="5"/>
    </row>
    <row r="599" spans="3:6" ht="13.2" x14ac:dyDescent="0.25">
      <c r="C599" s="5"/>
      <c r="D599" s="5"/>
      <c r="E599" s="5"/>
      <c r="F599" s="5"/>
    </row>
    <row r="600" spans="3:6" ht="13.2" x14ac:dyDescent="0.25">
      <c r="C600" s="5"/>
      <c r="D600" s="5"/>
      <c r="E600" s="5"/>
      <c r="F600" s="5"/>
    </row>
    <row r="601" spans="3:6" ht="13.2" x14ac:dyDescent="0.25">
      <c r="C601" s="5"/>
      <c r="D601" s="5"/>
      <c r="E601" s="5"/>
      <c r="F601" s="5"/>
    </row>
    <row r="602" spans="3:6" ht="13.2" x14ac:dyDescent="0.25">
      <c r="C602" s="5"/>
      <c r="D602" s="5"/>
      <c r="E602" s="5"/>
      <c r="F602" s="5"/>
    </row>
    <row r="603" spans="3:6" ht="13.2" x14ac:dyDescent="0.25">
      <c r="C603" s="5"/>
      <c r="D603" s="5"/>
      <c r="E603" s="5"/>
      <c r="F603" s="5"/>
    </row>
    <row r="604" spans="3:6" ht="13.2" x14ac:dyDescent="0.25">
      <c r="C604" s="5"/>
      <c r="D604" s="5"/>
      <c r="E604" s="5"/>
      <c r="F604" s="5"/>
    </row>
    <row r="605" spans="3:6" ht="13.2" x14ac:dyDescent="0.25">
      <c r="C605" s="5"/>
      <c r="D605" s="5"/>
      <c r="E605" s="5"/>
      <c r="F605" s="5"/>
    </row>
    <row r="606" spans="3:6" ht="13.2" x14ac:dyDescent="0.25">
      <c r="C606" s="5"/>
      <c r="D606" s="5"/>
      <c r="E606" s="5"/>
      <c r="F606" s="5"/>
    </row>
    <row r="607" spans="3:6" ht="13.2" x14ac:dyDescent="0.25">
      <c r="C607" s="5"/>
      <c r="D607" s="5"/>
      <c r="E607" s="5"/>
      <c r="F607" s="5"/>
    </row>
    <row r="608" spans="3:6" ht="13.2" x14ac:dyDescent="0.25">
      <c r="C608" s="5"/>
      <c r="D608" s="5"/>
      <c r="E608" s="5"/>
      <c r="F608" s="5"/>
    </row>
    <row r="609" spans="3:6" ht="13.2" x14ac:dyDescent="0.25">
      <c r="C609" s="5"/>
      <c r="D609" s="5"/>
      <c r="E609" s="5"/>
      <c r="F609" s="5"/>
    </row>
    <row r="610" spans="3:6" ht="13.2" x14ac:dyDescent="0.25">
      <c r="C610" s="5"/>
      <c r="D610" s="5"/>
      <c r="E610" s="5"/>
      <c r="F610" s="5"/>
    </row>
    <row r="611" spans="3:6" ht="13.2" x14ac:dyDescent="0.25">
      <c r="C611" s="5"/>
      <c r="D611" s="5"/>
      <c r="E611" s="5"/>
      <c r="F611" s="5"/>
    </row>
    <row r="612" spans="3:6" ht="13.2" x14ac:dyDescent="0.25">
      <c r="C612" s="5"/>
      <c r="D612" s="5"/>
      <c r="E612" s="5"/>
      <c r="F612" s="5"/>
    </row>
    <row r="613" spans="3:6" ht="13.2" x14ac:dyDescent="0.25">
      <c r="C613" s="5"/>
      <c r="D613" s="5"/>
      <c r="E613" s="5"/>
      <c r="F613" s="5"/>
    </row>
    <row r="614" spans="3:6" ht="13.2" x14ac:dyDescent="0.25">
      <c r="C614" s="5"/>
      <c r="D614" s="5"/>
      <c r="E614" s="5"/>
      <c r="F614" s="5"/>
    </row>
    <row r="615" spans="3:6" ht="13.2" x14ac:dyDescent="0.25">
      <c r="C615" s="5"/>
      <c r="D615" s="5"/>
      <c r="E615" s="5"/>
      <c r="F615" s="5"/>
    </row>
    <row r="616" spans="3:6" ht="13.2" x14ac:dyDescent="0.25">
      <c r="C616" s="5"/>
      <c r="D616" s="5"/>
      <c r="E616" s="5"/>
      <c r="F616" s="5"/>
    </row>
    <row r="617" spans="3:6" ht="13.2" x14ac:dyDescent="0.25">
      <c r="C617" s="5"/>
      <c r="D617" s="5"/>
      <c r="E617" s="5"/>
      <c r="F617" s="5"/>
    </row>
    <row r="618" spans="3:6" ht="13.2" x14ac:dyDescent="0.25">
      <c r="C618" s="5"/>
      <c r="D618" s="5"/>
      <c r="E618" s="5"/>
      <c r="F618" s="5"/>
    </row>
    <row r="619" spans="3:6" ht="13.2" x14ac:dyDescent="0.25">
      <c r="C619" s="5"/>
      <c r="D619" s="5"/>
      <c r="E619" s="5"/>
      <c r="F619" s="5"/>
    </row>
    <row r="620" spans="3:6" ht="13.2" x14ac:dyDescent="0.25">
      <c r="C620" s="5"/>
      <c r="D620" s="5"/>
      <c r="E620" s="5"/>
      <c r="F620" s="5"/>
    </row>
    <row r="621" spans="3:6" ht="13.2" x14ac:dyDescent="0.25">
      <c r="C621" s="5"/>
      <c r="D621" s="5"/>
      <c r="E621" s="5"/>
      <c r="F621" s="5"/>
    </row>
    <row r="622" spans="3:6" ht="13.2" x14ac:dyDescent="0.25">
      <c r="C622" s="5"/>
      <c r="D622" s="5"/>
      <c r="E622" s="5"/>
      <c r="F622" s="5"/>
    </row>
    <row r="623" spans="3:6" ht="13.2" x14ac:dyDescent="0.25">
      <c r="C623" s="5"/>
      <c r="D623" s="5"/>
      <c r="E623" s="5"/>
      <c r="F623" s="5"/>
    </row>
    <row r="624" spans="3:6" ht="13.2" x14ac:dyDescent="0.25">
      <c r="C624" s="5"/>
      <c r="D624" s="5"/>
      <c r="E624" s="5"/>
      <c r="F624" s="5"/>
    </row>
    <row r="625" spans="3:6" ht="13.2" x14ac:dyDescent="0.25">
      <c r="C625" s="5"/>
      <c r="D625" s="5"/>
      <c r="E625" s="5"/>
      <c r="F625" s="5"/>
    </row>
    <row r="626" spans="3:6" ht="13.2" x14ac:dyDescent="0.25">
      <c r="C626" s="5"/>
      <c r="D626" s="5"/>
      <c r="E626" s="5"/>
      <c r="F626" s="5"/>
    </row>
    <row r="627" spans="3:6" ht="13.2" x14ac:dyDescent="0.25">
      <c r="C627" s="5"/>
      <c r="D627" s="5"/>
      <c r="E627" s="5"/>
      <c r="F627" s="5"/>
    </row>
    <row r="628" spans="3:6" ht="13.2" x14ac:dyDescent="0.25">
      <c r="C628" s="5"/>
      <c r="D628" s="5"/>
      <c r="E628" s="5"/>
      <c r="F628" s="5"/>
    </row>
    <row r="629" spans="3:6" ht="13.2" x14ac:dyDescent="0.25">
      <c r="C629" s="5"/>
      <c r="D629" s="5"/>
      <c r="E629" s="5"/>
      <c r="F629" s="5"/>
    </row>
    <row r="630" spans="3:6" ht="13.2" x14ac:dyDescent="0.25">
      <c r="C630" s="5"/>
      <c r="D630" s="5"/>
      <c r="E630" s="5"/>
      <c r="F630" s="5"/>
    </row>
    <row r="631" spans="3:6" ht="13.2" x14ac:dyDescent="0.25">
      <c r="C631" s="5"/>
      <c r="D631" s="5"/>
      <c r="E631" s="5"/>
      <c r="F631" s="5"/>
    </row>
    <row r="632" spans="3:6" ht="13.2" x14ac:dyDescent="0.25">
      <c r="C632" s="5"/>
      <c r="D632" s="5"/>
      <c r="E632" s="5"/>
      <c r="F632" s="5"/>
    </row>
    <row r="633" spans="3:6" ht="13.2" x14ac:dyDescent="0.25">
      <c r="C633" s="5"/>
      <c r="D633" s="5"/>
      <c r="E633" s="5"/>
      <c r="F633" s="5"/>
    </row>
    <row r="634" spans="3:6" ht="13.2" x14ac:dyDescent="0.25">
      <c r="C634" s="5"/>
      <c r="D634" s="5"/>
      <c r="E634" s="5"/>
      <c r="F634" s="5"/>
    </row>
    <row r="635" spans="3:6" ht="13.2" x14ac:dyDescent="0.25">
      <c r="C635" s="5"/>
      <c r="D635" s="5"/>
      <c r="E635" s="5"/>
      <c r="F635" s="5"/>
    </row>
    <row r="636" spans="3:6" ht="13.2" x14ac:dyDescent="0.25">
      <c r="C636" s="5"/>
      <c r="D636" s="5"/>
      <c r="E636" s="5"/>
      <c r="F636" s="5"/>
    </row>
    <row r="637" spans="3:6" ht="13.2" x14ac:dyDescent="0.25">
      <c r="C637" s="5"/>
      <c r="D637" s="5"/>
      <c r="E637" s="5"/>
      <c r="F637" s="5"/>
    </row>
    <row r="638" spans="3:6" ht="13.2" x14ac:dyDescent="0.25">
      <c r="C638" s="5"/>
      <c r="D638" s="5"/>
      <c r="E638" s="5"/>
      <c r="F638" s="5"/>
    </row>
    <row r="639" spans="3:6" ht="13.2" x14ac:dyDescent="0.25">
      <c r="C639" s="5"/>
      <c r="D639" s="5"/>
      <c r="E639" s="5"/>
      <c r="F639" s="5"/>
    </row>
    <row r="640" spans="3:6" ht="13.2" x14ac:dyDescent="0.25">
      <c r="C640" s="5"/>
      <c r="D640" s="5"/>
      <c r="E640" s="5"/>
      <c r="F640" s="5"/>
    </row>
    <row r="641" spans="3:6" ht="13.2" x14ac:dyDescent="0.25">
      <c r="C641" s="5"/>
      <c r="D641" s="5"/>
      <c r="E641" s="5"/>
      <c r="F641" s="5"/>
    </row>
    <row r="642" spans="3:6" ht="13.2" x14ac:dyDescent="0.25">
      <c r="C642" s="5"/>
      <c r="D642" s="5"/>
      <c r="E642" s="5"/>
      <c r="F642" s="5"/>
    </row>
    <row r="643" spans="3:6" ht="13.2" x14ac:dyDescent="0.25">
      <c r="C643" s="5"/>
      <c r="D643" s="5"/>
      <c r="E643" s="5"/>
      <c r="F643" s="5"/>
    </row>
    <row r="644" spans="3:6" ht="13.2" x14ac:dyDescent="0.25">
      <c r="C644" s="5"/>
      <c r="D644" s="5"/>
      <c r="E644" s="5"/>
      <c r="F644" s="5"/>
    </row>
    <row r="645" spans="3:6" ht="13.2" x14ac:dyDescent="0.25">
      <c r="C645" s="5"/>
      <c r="D645" s="5"/>
      <c r="E645" s="5"/>
      <c r="F645" s="5"/>
    </row>
    <row r="646" spans="3:6" ht="13.2" x14ac:dyDescent="0.25">
      <c r="C646" s="5"/>
      <c r="D646" s="5"/>
      <c r="E646" s="5"/>
      <c r="F646" s="5"/>
    </row>
    <row r="647" spans="3:6" ht="13.2" x14ac:dyDescent="0.25">
      <c r="C647" s="5"/>
      <c r="D647" s="5"/>
      <c r="E647" s="5"/>
      <c r="F647" s="5"/>
    </row>
    <row r="648" spans="3:6" ht="13.2" x14ac:dyDescent="0.25">
      <c r="C648" s="5"/>
      <c r="D648" s="5"/>
      <c r="E648" s="5"/>
      <c r="F648" s="5"/>
    </row>
    <row r="649" spans="3:6" ht="13.2" x14ac:dyDescent="0.25">
      <c r="C649" s="5"/>
      <c r="D649" s="5"/>
      <c r="E649" s="5"/>
      <c r="F649" s="5"/>
    </row>
    <row r="650" spans="3:6" ht="13.2" x14ac:dyDescent="0.25">
      <c r="C650" s="5"/>
      <c r="D650" s="5"/>
      <c r="E650" s="5"/>
      <c r="F650" s="5"/>
    </row>
    <row r="651" spans="3:6" ht="13.2" x14ac:dyDescent="0.25">
      <c r="C651" s="5"/>
      <c r="D651" s="5"/>
      <c r="E651" s="5"/>
      <c r="F651" s="5"/>
    </row>
    <row r="652" spans="3:6" ht="13.2" x14ac:dyDescent="0.25">
      <c r="C652" s="5"/>
      <c r="D652" s="5"/>
      <c r="E652" s="5"/>
      <c r="F652" s="5"/>
    </row>
    <row r="653" spans="3:6" ht="13.2" x14ac:dyDescent="0.25">
      <c r="C653" s="5"/>
      <c r="D653" s="5"/>
      <c r="E653" s="5"/>
      <c r="F653" s="5"/>
    </row>
    <row r="654" spans="3:6" ht="13.2" x14ac:dyDescent="0.25">
      <c r="C654" s="5"/>
      <c r="D654" s="5"/>
      <c r="E654" s="5"/>
      <c r="F654" s="5"/>
    </row>
    <row r="655" spans="3:6" ht="13.2" x14ac:dyDescent="0.25">
      <c r="C655" s="5"/>
      <c r="D655" s="5"/>
      <c r="E655" s="5"/>
      <c r="F655" s="5"/>
    </row>
    <row r="656" spans="3:6" ht="13.2" x14ac:dyDescent="0.25">
      <c r="C656" s="5"/>
      <c r="D656" s="5"/>
      <c r="E656" s="5"/>
      <c r="F656" s="5"/>
    </row>
    <row r="657" spans="3:6" ht="13.2" x14ac:dyDescent="0.25">
      <c r="C657" s="5"/>
      <c r="D657" s="5"/>
      <c r="E657" s="5"/>
      <c r="F657" s="5"/>
    </row>
    <row r="658" spans="3:6" ht="13.2" x14ac:dyDescent="0.25">
      <c r="C658" s="5"/>
      <c r="D658" s="5"/>
      <c r="E658" s="5"/>
      <c r="F658" s="5"/>
    </row>
    <row r="659" spans="3:6" ht="13.2" x14ac:dyDescent="0.25">
      <c r="C659" s="5"/>
      <c r="D659" s="5"/>
      <c r="E659" s="5"/>
      <c r="F659" s="5"/>
    </row>
    <row r="660" spans="3:6" ht="13.2" x14ac:dyDescent="0.25">
      <c r="C660" s="5"/>
      <c r="D660" s="5"/>
      <c r="E660" s="5"/>
      <c r="F660" s="5"/>
    </row>
    <row r="661" spans="3:6" ht="13.2" x14ac:dyDescent="0.25">
      <c r="C661" s="5"/>
      <c r="D661" s="5"/>
      <c r="E661" s="5"/>
      <c r="F661" s="5"/>
    </row>
    <row r="662" spans="3:6" ht="13.2" x14ac:dyDescent="0.25">
      <c r="C662" s="5"/>
      <c r="D662" s="5"/>
      <c r="E662" s="5"/>
      <c r="F662" s="5"/>
    </row>
    <row r="663" spans="3:6" ht="13.2" x14ac:dyDescent="0.25">
      <c r="C663" s="5"/>
      <c r="D663" s="5"/>
      <c r="E663" s="5"/>
      <c r="F663" s="5"/>
    </row>
    <row r="664" spans="3:6" ht="13.2" x14ac:dyDescent="0.25">
      <c r="C664" s="5"/>
      <c r="D664" s="5"/>
      <c r="E664" s="5"/>
      <c r="F664" s="5"/>
    </row>
    <row r="665" spans="3:6" ht="13.2" x14ac:dyDescent="0.25">
      <c r="C665" s="5"/>
      <c r="D665" s="5"/>
      <c r="E665" s="5"/>
      <c r="F665" s="5"/>
    </row>
    <row r="666" spans="3:6" ht="13.2" x14ac:dyDescent="0.25">
      <c r="C666" s="5"/>
      <c r="D666" s="5"/>
      <c r="E666" s="5"/>
      <c r="F666" s="5"/>
    </row>
    <row r="667" spans="3:6" ht="13.2" x14ac:dyDescent="0.25">
      <c r="C667" s="5"/>
      <c r="D667" s="5"/>
      <c r="E667" s="5"/>
      <c r="F667" s="5"/>
    </row>
    <row r="668" spans="3:6" ht="13.2" x14ac:dyDescent="0.25">
      <c r="C668" s="5"/>
      <c r="D668" s="5"/>
      <c r="E668" s="5"/>
      <c r="F668" s="5"/>
    </row>
    <row r="669" spans="3:6" ht="13.2" x14ac:dyDescent="0.25">
      <c r="C669" s="5"/>
      <c r="D669" s="5"/>
      <c r="E669" s="5"/>
      <c r="F669" s="5"/>
    </row>
    <row r="670" spans="3:6" ht="13.2" x14ac:dyDescent="0.25">
      <c r="C670" s="5"/>
      <c r="D670" s="5"/>
      <c r="E670" s="5"/>
      <c r="F670" s="5"/>
    </row>
    <row r="671" spans="3:6" ht="13.2" x14ac:dyDescent="0.25">
      <c r="C671" s="5"/>
      <c r="D671" s="5"/>
      <c r="E671" s="5"/>
      <c r="F671" s="5"/>
    </row>
    <row r="672" spans="3:6" ht="13.2" x14ac:dyDescent="0.25">
      <c r="C672" s="5"/>
      <c r="D672" s="5"/>
      <c r="E672" s="5"/>
      <c r="F672" s="5"/>
    </row>
    <row r="673" spans="3:6" ht="13.2" x14ac:dyDescent="0.25">
      <c r="C673" s="5"/>
      <c r="D673" s="5"/>
      <c r="E673" s="5"/>
      <c r="F673" s="5"/>
    </row>
    <row r="674" spans="3:6" ht="13.2" x14ac:dyDescent="0.25">
      <c r="C674" s="5"/>
      <c r="D674" s="5"/>
      <c r="E674" s="5"/>
      <c r="F674" s="5"/>
    </row>
    <row r="675" spans="3:6" ht="13.2" x14ac:dyDescent="0.25">
      <c r="C675" s="5"/>
      <c r="D675" s="5"/>
      <c r="E675" s="5"/>
      <c r="F675" s="5"/>
    </row>
    <row r="676" spans="3:6" ht="13.2" x14ac:dyDescent="0.25">
      <c r="C676" s="5"/>
      <c r="D676" s="5"/>
      <c r="E676" s="5"/>
      <c r="F676" s="5"/>
    </row>
    <row r="677" spans="3:6" ht="13.2" x14ac:dyDescent="0.25">
      <c r="C677" s="5"/>
      <c r="D677" s="5"/>
      <c r="E677" s="5"/>
      <c r="F677" s="5"/>
    </row>
    <row r="678" spans="3:6" ht="13.2" x14ac:dyDescent="0.25">
      <c r="C678" s="5"/>
      <c r="D678" s="5"/>
      <c r="E678" s="5"/>
      <c r="F678" s="5"/>
    </row>
    <row r="679" spans="3:6" ht="13.2" x14ac:dyDescent="0.25">
      <c r="C679" s="5"/>
      <c r="D679" s="5"/>
      <c r="E679" s="5"/>
      <c r="F679" s="5"/>
    </row>
    <row r="680" spans="3:6" ht="13.2" x14ac:dyDescent="0.25">
      <c r="C680" s="5"/>
      <c r="D680" s="5"/>
      <c r="E680" s="5"/>
      <c r="F680" s="5"/>
    </row>
    <row r="681" spans="3:6" ht="13.2" x14ac:dyDescent="0.25">
      <c r="C681" s="5"/>
      <c r="D681" s="5"/>
      <c r="E681" s="5"/>
      <c r="F681" s="5"/>
    </row>
    <row r="682" spans="3:6" ht="13.2" x14ac:dyDescent="0.25">
      <c r="C682" s="5"/>
      <c r="D682" s="5"/>
      <c r="E682" s="5"/>
      <c r="F682" s="5"/>
    </row>
    <row r="683" spans="3:6" ht="13.2" x14ac:dyDescent="0.25">
      <c r="C683" s="5"/>
      <c r="D683" s="5"/>
      <c r="E683" s="5"/>
      <c r="F683" s="5"/>
    </row>
    <row r="684" spans="3:6" ht="13.2" x14ac:dyDescent="0.25">
      <c r="C684" s="5"/>
      <c r="D684" s="5"/>
      <c r="E684" s="5"/>
      <c r="F684" s="5"/>
    </row>
    <row r="685" spans="3:6" ht="13.2" x14ac:dyDescent="0.25">
      <c r="C685" s="5"/>
      <c r="D685" s="5"/>
      <c r="E685" s="5"/>
      <c r="F685" s="5"/>
    </row>
    <row r="686" spans="3:6" ht="13.2" x14ac:dyDescent="0.25">
      <c r="C686" s="5"/>
      <c r="D686" s="5"/>
      <c r="E686" s="5"/>
      <c r="F686" s="5"/>
    </row>
    <row r="687" spans="3:6" ht="13.2" x14ac:dyDescent="0.25">
      <c r="C687" s="5"/>
      <c r="D687" s="5"/>
      <c r="E687" s="5"/>
      <c r="F687" s="5"/>
    </row>
    <row r="688" spans="3:6" ht="13.2" x14ac:dyDescent="0.25">
      <c r="C688" s="5"/>
      <c r="D688" s="5"/>
      <c r="E688" s="5"/>
      <c r="F688" s="5"/>
    </row>
    <row r="689" spans="3:6" ht="13.2" x14ac:dyDescent="0.25">
      <c r="C689" s="5"/>
      <c r="D689" s="5"/>
      <c r="E689" s="5"/>
      <c r="F689" s="5"/>
    </row>
    <row r="690" spans="3:6" ht="13.2" x14ac:dyDescent="0.25">
      <c r="C690" s="5"/>
      <c r="D690" s="5"/>
      <c r="E690" s="5"/>
      <c r="F690" s="5"/>
    </row>
    <row r="691" spans="3:6" ht="13.2" x14ac:dyDescent="0.25">
      <c r="C691" s="5"/>
      <c r="D691" s="5"/>
      <c r="E691" s="5"/>
      <c r="F691" s="5"/>
    </row>
    <row r="692" spans="3:6" ht="13.2" x14ac:dyDescent="0.25">
      <c r="C692" s="5"/>
      <c r="D692" s="5"/>
      <c r="E692" s="5"/>
      <c r="F692" s="5"/>
    </row>
    <row r="693" spans="3:6" ht="13.2" x14ac:dyDescent="0.25">
      <c r="C693" s="5"/>
      <c r="D693" s="5"/>
      <c r="E693" s="5"/>
      <c r="F693" s="5"/>
    </row>
    <row r="694" spans="3:6" ht="13.2" x14ac:dyDescent="0.25">
      <c r="C694" s="5"/>
      <c r="D694" s="5"/>
      <c r="E694" s="5"/>
      <c r="F694" s="5"/>
    </row>
    <row r="695" spans="3:6" ht="13.2" x14ac:dyDescent="0.25">
      <c r="C695" s="5"/>
      <c r="D695" s="5"/>
      <c r="E695" s="5"/>
      <c r="F695" s="5"/>
    </row>
    <row r="696" spans="3:6" ht="13.2" x14ac:dyDescent="0.25">
      <c r="C696" s="5"/>
      <c r="D696" s="5"/>
      <c r="E696" s="5"/>
      <c r="F696" s="5"/>
    </row>
    <row r="697" spans="3:6" ht="13.2" x14ac:dyDescent="0.25">
      <c r="C697" s="5"/>
      <c r="D697" s="5"/>
      <c r="E697" s="5"/>
      <c r="F697" s="5"/>
    </row>
    <row r="698" spans="3:6" ht="13.2" x14ac:dyDescent="0.25">
      <c r="C698" s="5"/>
      <c r="D698" s="5"/>
      <c r="E698" s="5"/>
      <c r="F698" s="5"/>
    </row>
    <row r="699" spans="3:6" ht="13.2" x14ac:dyDescent="0.25">
      <c r="C699" s="5"/>
      <c r="D699" s="5"/>
      <c r="E699" s="5"/>
      <c r="F699" s="5"/>
    </row>
    <row r="700" spans="3:6" ht="13.2" x14ac:dyDescent="0.25">
      <c r="C700" s="5"/>
      <c r="D700" s="5"/>
      <c r="E700" s="5"/>
      <c r="F700" s="5"/>
    </row>
    <row r="701" spans="3:6" ht="13.2" x14ac:dyDescent="0.25">
      <c r="C701" s="5"/>
      <c r="D701" s="5"/>
      <c r="E701" s="5"/>
      <c r="F701" s="5"/>
    </row>
    <row r="702" spans="3:6" ht="13.2" x14ac:dyDescent="0.25">
      <c r="C702" s="5"/>
      <c r="D702" s="5"/>
      <c r="E702" s="5"/>
      <c r="F702" s="5"/>
    </row>
    <row r="703" spans="3:6" ht="13.2" x14ac:dyDescent="0.25">
      <c r="C703" s="5"/>
      <c r="D703" s="5"/>
      <c r="E703" s="5"/>
      <c r="F703" s="5"/>
    </row>
    <row r="704" spans="3:6" ht="13.2" x14ac:dyDescent="0.25">
      <c r="C704" s="5"/>
      <c r="D704" s="5"/>
      <c r="E704" s="5"/>
      <c r="F704" s="5"/>
    </row>
    <row r="705" spans="3:6" ht="13.2" x14ac:dyDescent="0.25">
      <c r="C705" s="5"/>
      <c r="D705" s="5"/>
      <c r="E705" s="5"/>
      <c r="F705" s="5"/>
    </row>
    <row r="706" spans="3:6" ht="13.2" x14ac:dyDescent="0.25">
      <c r="C706" s="5"/>
      <c r="D706" s="5"/>
      <c r="E706" s="5"/>
      <c r="F706" s="5"/>
    </row>
    <row r="707" spans="3:6" ht="13.2" x14ac:dyDescent="0.25">
      <c r="C707" s="5"/>
      <c r="D707" s="5"/>
      <c r="E707" s="5"/>
      <c r="F707" s="5"/>
    </row>
    <row r="708" spans="3:6" ht="13.2" x14ac:dyDescent="0.25">
      <c r="C708" s="5"/>
      <c r="D708" s="5"/>
      <c r="E708" s="5"/>
      <c r="F708" s="5"/>
    </row>
    <row r="709" spans="3:6" ht="13.2" x14ac:dyDescent="0.25">
      <c r="C709" s="5"/>
      <c r="D709" s="5"/>
      <c r="E709" s="5"/>
      <c r="F709" s="5"/>
    </row>
    <row r="710" spans="3:6" ht="13.2" x14ac:dyDescent="0.25">
      <c r="C710" s="5"/>
      <c r="D710" s="5"/>
      <c r="E710" s="5"/>
      <c r="F710" s="5"/>
    </row>
    <row r="711" spans="3:6" ht="13.2" x14ac:dyDescent="0.25">
      <c r="C711" s="5"/>
      <c r="D711" s="5"/>
      <c r="E711" s="5"/>
      <c r="F711" s="5"/>
    </row>
    <row r="712" spans="3:6" ht="13.2" x14ac:dyDescent="0.25">
      <c r="C712" s="5"/>
      <c r="D712" s="5"/>
      <c r="E712" s="5"/>
      <c r="F712" s="5"/>
    </row>
    <row r="713" spans="3:6" ht="13.2" x14ac:dyDescent="0.25">
      <c r="C713" s="5"/>
      <c r="D713" s="5"/>
      <c r="E713" s="5"/>
      <c r="F713" s="5"/>
    </row>
    <row r="714" spans="3:6" ht="13.2" x14ac:dyDescent="0.25">
      <c r="C714" s="5"/>
      <c r="D714" s="5"/>
      <c r="E714" s="5"/>
      <c r="F714" s="5"/>
    </row>
    <row r="715" spans="3:6" ht="13.2" x14ac:dyDescent="0.25">
      <c r="C715" s="5"/>
      <c r="D715" s="5"/>
      <c r="E715" s="5"/>
      <c r="F715" s="5"/>
    </row>
    <row r="716" spans="3:6" ht="13.2" x14ac:dyDescent="0.25">
      <c r="C716" s="5"/>
      <c r="D716" s="5"/>
      <c r="E716" s="5"/>
      <c r="F716" s="5"/>
    </row>
    <row r="717" spans="3:6" ht="13.2" x14ac:dyDescent="0.25">
      <c r="C717" s="5"/>
      <c r="D717" s="5"/>
      <c r="E717" s="5"/>
      <c r="F717" s="5"/>
    </row>
    <row r="718" spans="3:6" ht="13.2" x14ac:dyDescent="0.25">
      <c r="C718" s="5"/>
      <c r="D718" s="5"/>
      <c r="E718" s="5"/>
      <c r="F718" s="5"/>
    </row>
    <row r="719" spans="3:6" ht="13.2" x14ac:dyDescent="0.25">
      <c r="C719" s="5"/>
      <c r="D719" s="5"/>
      <c r="E719" s="5"/>
      <c r="F719" s="5"/>
    </row>
    <row r="720" spans="3:6" ht="13.2" x14ac:dyDescent="0.25">
      <c r="C720" s="5"/>
      <c r="D720" s="5"/>
      <c r="E720" s="5"/>
      <c r="F720" s="5"/>
    </row>
    <row r="721" spans="3:6" ht="13.2" x14ac:dyDescent="0.25">
      <c r="C721" s="5"/>
      <c r="D721" s="5"/>
      <c r="E721" s="5"/>
      <c r="F721" s="5"/>
    </row>
    <row r="722" spans="3:6" ht="13.2" x14ac:dyDescent="0.25">
      <c r="C722" s="5"/>
      <c r="D722" s="5"/>
      <c r="E722" s="5"/>
      <c r="F722" s="5"/>
    </row>
    <row r="723" spans="3:6" ht="13.2" x14ac:dyDescent="0.25">
      <c r="C723" s="5"/>
      <c r="D723" s="5"/>
      <c r="E723" s="5"/>
      <c r="F723" s="5"/>
    </row>
    <row r="724" spans="3:6" ht="13.2" x14ac:dyDescent="0.25">
      <c r="C724" s="5"/>
      <c r="D724" s="5"/>
      <c r="E724" s="5"/>
      <c r="F724" s="5"/>
    </row>
    <row r="725" spans="3:6" ht="13.2" x14ac:dyDescent="0.25">
      <c r="C725" s="5"/>
      <c r="D725" s="5"/>
      <c r="E725" s="5"/>
      <c r="F725" s="5"/>
    </row>
    <row r="726" spans="3:6" ht="13.2" x14ac:dyDescent="0.25">
      <c r="C726" s="5"/>
      <c r="D726" s="5"/>
      <c r="E726" s="5"/>
      <c r="F726" s="5"/>
    </row>
    <row r="727" spans="3:6" ht="13.2" x14ac:dyDescent="0.25">
      <c r="C727" s="5"/>
      <c r="D727" s="5"/>
      <c r="E727" s="5"/>
      <c r="F727" s="5"/>
    </row>
    <row r="728" spans="3:6" ht="13.2" x14ac:dyDescent="0.25">
      <c r="C728" s="5"/>
      <c r="D728" s="5"/>
      <c r="E728" s="5"/>
      <c r="F728" s="5"/>
    </row>
    <row r="729" spans="3:6" ht="13.2" x14ac:dyDescent="0.25">
      <c r="C729" s="5"/>
      <c r="D729" s="5"/>
      <c r="E729" s="5"/>
      <c r="F729" s="5"/>
    </row>
    <row r="730" spans="3:6" ht="13.2" x14ac:dyDescent="0.25">
      <c r="C730" s="5"/>
      <c r="D730" s="5"/>
      <c r="E730" s="5"/>
      <c r="F730" s="5"/>
    </row>
    <row r="731" spans="3:6" ht="13.2" x14ac:dyDescent="0.25">
      <c r="C731" s="5"/>
      <c r="D731" s="5"/>
      <c r="E731" s="5"/>
      <c r="F731" s="5"/>
    </row>
    <row r="732" spans="3:6" ht="13.2" x14ac:dyDescent="0.25">
      <c r="C732" s="5"/>
      <c r="D732" s="5"/>
      <c r="E732" s="5"/>
      <c r="F732" s="5"/>
    </row>
    <row r="733" spans="3:6" ht="13.2" x14ac:dyDescent="0.25">
      <c r="C733" s="5"/>
      <c r="D733" s="5"/>
      <c r="E733" s="5"/>
      <c r="F733" s="5"/>
    </row>
    <row r="734" spans="3:6" ht="13.2" x14ac:dyDescent="0.25">
      <c r="C734" s="5"/>
      <c r="D734" s="5"/>
      <c r="E734" s="5"/>
      <c r="F734" s="5"/>
    </row>
    <row r="735" spans="3:6" ht="13.2" x14ac:dyDescent="0.25">
      <c r="C735" s="5"/>
      <c r="D735" s="5"/>
      <c r="E735" s="5"/>
      <c r="F735" s="5"/>
    </row>
    <row r="736" spans="3:6" ht="13.2" x14ac:dyDescent="0.25">
      <c r="C736" s="5"/>
      <c r="D736" s="5"/>
      <c r="E736" s="5"/>
      <c r="F736" s="5"/>
    </row>
    <row r="737" spans="3:6" ht="13.2" x14ac:dyDescent="0.25">
      <c r="C737" s="5"/>
      <c r="D737" s="5"/>
      <c r="E737" s="5"/>
      <c r="F737" s="5"/>
    </row>
    <row r="738" spans="3:6" ht="13.2" x14ac:dyDescent="0.25">
      <c r="C738" s="5"/>
      <c r="D738" s="5"/>
      <c r="E738" s="5"/>
      <c r="F738" s="5"/>
    </row>
    <row r="739" spans="3:6" ht="13.2" x14ac:dyDescent="0.25">
      <c r="C739" s="5"/>
      <c r="D739" s="5"/>
      <c r="E739" s="5"/>
      <c r="F739" s="5"/>
    </row>
    <row r="740" spans="3:6" ht="13.2" x14ac:dyDescent="0.25">
      <c r="C740" s="5"/>
      <c r="D740" s="5"/>
      <c r="E740" s="5"/>
      <c r="F740" s="5"/>
    </row>
    <row r="741" spans="3:6" ht="13.2" x14ac:dyDescent="0.25">
      <c r="C741" s="5"/>
      <c r="D741" s="5"/>
      <c r="E741" s="5"/>
      <c r="F741" s="5"/>
    </row>
    <row r="742" spans="3:6" ht="13.2" x14ac:dyDescent="0.25">
      <c r="C742" s="5"/>
      <c r="D742" s="5"/>
      <c r="E742" s="5"/>
      <c r="F742" s="5"/>
    </row>
    <row r="743" spans="3:6" ht="13.2" x14ac:dyDescent="0.25">
      <c r="C743" s="5"/>
      <c r="D743" s="5"/>
      <c r="E743" s="5"/>
      <c r="F743" s="5"/>
    </row>
    <row r="744" spans="3:6" ht="13.2" x14ac:dyDescent="0.25">
      <c r="C744" s="5"/>
      <c r="D744" s="5"/>
      <c r="E744" s="5"/>
      <c r="F744" s="5"/>
    </row>
    <row r="745" spans="3:6" ht="13.2" x14ac:dyDescent="0.25">
      <c r="C745" s="5"/>
      <c r="D745" s="5"/>
      <c r="E745" s="5"/>
      <c r="F745" s="5"/>
    </row>
    <row r="746" spans="3:6" ht="13.2" x14ac:dyDescent="0.25">
      <c r="C746" s="5"/>
      <c r="D746" s="5"/>
      <c r="E746" s="5"/>
      <c r="F746" s="5"/>
    </row>
    <row r="747" spans="3:6" ht="13.2" x14ac:dyDescent="0.25">
      <c r="C747" s="5"/>
      <c r="D747" s="5"/>
      <c r="E747" s="5"/>
      <c r="F747" s="5"/>
    </row>
    <row r="748" spans="3:6" ht="13.2" x14ac:dyDescent="0.25">
      <c r="C748" s="5"/>
      <c r="D748" s="5"/>
      <c r="E748" s="5"/>
      <c r="F748" s="5"/>
    </row>
    <row r="749" spans="3:6" ht="13.2" x14ac:dyDescent="0.25">
      <c r="C749" s="5"/>
      <c r="D749" s="5"/>
      <c r="E749" s="5"/>
      <c r="F749" s="5"/>
    </row>
    <row r="750" spans="3:6" ht="13.2" x14ac:dyDescent="0.25">
      <c r="C750" s="5"/>
      <c r="D750" s="5"/>
      <c r="E750" s="5"/>
      <c r="F750" s="5"/>
    </row>
    <row r="751" spans="3:6" ht="13.2" x14ac:dyDescent="0.25">
      <c r="C751" s="5"/>
      <c r="D751" s="5"/>
      <c r="E751" s="5"/>
      <c r="F751" s="5"/>
    </row>
    <row r="752" spans="3:6" ht="13.2" x14ac:dyDescent="0.25">
      <c r="C752" s="5"/>
      <c r="D752" s="5"/>
      <c r="E752" s="5"/>
      <c r="F752" s="5"/>
    </row>
    <row r="753" spans="3:6" ht="13.2" x14ac:dyDescent="0.25">
      <c r="C753" s="5"/>
      <c r="D753" s="5"/>
      <c r="E753" s="5"/>
      <c r="F753" s="5"/>
    </row>
    <row r="754" spans="3:6" ht="13.2" x14ac:dyDescent="0.25">
      <c r="C754" s="5"/>
      <c r="D754" s="5"/>
      <c r="E754" s="5"/>
      <c r="F754" s="5"/>
    </row>
    <row r="755" spans="3:6" ht="13.2" x14ac:dyDescent="0.25">
      <c r="C755" s="5"/>
      <c r="D755" s="5"/>
      <c r="E755" s="5"/>
      <c r="F755" s="5"/>
    </row>
    <row r="756" spans="3:6" ht="13.2" x14ac:dyDescent="0.25">
      <c r="C756" s="5"/>
      <c r="D756" s="5"/>
      <c r="E756" s="5"/>
      <c r="F756" s="5"/>
    </row>
    <row r="757" spans="3:6" ht="13.2" x14ac:dyDescent="0.25">
      <c r="C757" s="5"/>
      <c r="D757" s="5"/>
      <c r="E757" s="5"/>
      <c r="F757" s="5"/>
    </row>
    <row r="758" spans="3:6" ht="13.2" x14ac:dyDescent="0.25">
      <c r="C758" s="5"/>
      <c r="D758" s="5"/>
      <c r="E758" s="5"/>
      <c r="F758" s="5"/>
    </row>
    <row r="759" spans="3:6" ht="13.2" x14ac:dyDescent="0.25">
      <c r="C759" s="5"/>
      <c r="D759" s="5"/>
      <c r="E759" s="5"/>
      <c r="F759" s="5"/>
    </row>
    <row r="760" spans="3:6" ht="13.2" x14ac:dyDescent="0.25">
      <c r="C760" s="5"/>
      <c r="D760" s="5"/>
      <c r="E760" s="5"/>
      <c r="F760" s="5"/>
    </row>
    <row r="761" spans="3:6" ht="13.2" x14ac:dyDescent="0.25">
      <c r="C761" s="5"/>
      <c r="D761" s="5"/>
      <c r="E761" s="5"/>
      <c r="F761" s="5"/>
    </row>
    <row r="762" spans="3:6" ht="13.2" x14ac:dyDescent="0.25">
      <c r="C762" s="5"/>
      <c r="D762" s="5"/>
      <c r="E762" s="5"/>
      <c r="F762" s="5"/>
    </row>
    <row r="763" spans="3:6" ht="13.2" x14ac:dyDescent="0.25">
      <c r="C763" s="5"/>
      <c r="D763" s="5"/>
      <c r="E763" s="5"/>
      <c r="F763" s="5"/>
    </row>
    <row r="764" spans="3:6" ht="13.2" x14ac:dyDescent="0.25">
      <c r="C764" s="5"/>
      <c r="D764" s="5"/>
      <c r="E764" s="5"/>
      <c r="F764" s="5"/>
    </row>
    <row r="765" spans="3:6" ht="13.2" x14ac:dyDescent="0.25">
      <c r="C765" s="5"/>
      <c r="D765" s="5"/>
      <c r="E765" s="5"/>
      <c r="F765" s="5"/>
    </row>
    <row r="766" spans="3:6" ht="13.2" x14ac:dyDescent="0.25">
      <c r="C766" s="5"/>
      <c r="D766" s="5"/>
      <c r="E766" s="5"/>
      <c r="F766" s="5"/>
    </row>
    <row r="767" spans="3:6" ht="13.2" x14ac:dyDescent="0.25">
      <c r="C767" s="5"/>
      <c r="D767" s="5"/>
      <c r="E767" s="5"/>
      <c r="F767" s="5"/>
    </row>
    <row r="768" spans="3:6" ht="13.2" x14ac:dyDescent="0.25">
      <c r="C768" s="5"/>
      <c r="D768" s="5"/>
      <c r="E768" s="5"/>
      <c r="F768" s="5"/>
    </row>
    <row r="769" spans="3:6" ht="13.2" x14ac:dyDescent="0.25">
      <c r="C769" s="5"/>
      <c r="D769" s="5"/>
      <c r="E769" s="5"/>
      <c r="F769" s="5"/>
    </row>
    <row r="770" spans="3:6" ht="13.2" x14ac:dyDescent="0.25">
      <c r="C770" s="5"/>
      <c r="D770" s="5"/>
      <c r="E770" s="5"/>
      <c r="F770" s="5"/>
    </row>
    <row r="771" spans="3:6" ht="13.2" x14ac:dyDescent="0.25">
      <c r="C771" s="5"/>
      <c r="D771" s="5"/>
      <c r="E771" s="5"/>
      <c r="F771" s="5"/>
    </row>
    <row r="772" spans="3:6" ht="13.2" x14ac:dyDescent="0.25">
      <c r="C772" s="5"/>
      <c r="D772" s="5"/>
      <c r="E772" s="5"/>
      <c r="F772" s="5"/>
    </row>
    <row r="773" spans="3:6" ht="13.2" x14ac:dyDescent="0.25">
      <c r="C773" s="5"/>
      <c r="D773" s="5"/>
      <c r="E773" s="5"/>
      <c r="F773" s="5"/>
    </row>
    <row r="774" spans="3:6" ht="13.2" x14ac:dyDescent="0.25">
      <c r="C774" s="5"/>
      <c r="D774" s="5"/>
      <c r="E774" s="5"/>
      <c r="F774" s="5"/>
    </row>
    <row r="775" spans="3:6" ht="13.2" x14ac:dyDescent="0.25">
      <c r="C775" s="5"/>
      <c r="D775" s="5"/>
      <c r="E775" s="5"/>
      <c r="F775" s="5"/>
    </row>
    <row r="776" spans="3:6" ht="13.2" x14ac:dyDescent="0.25">
      <c r="C776" s="5"/>
      <c r="D776" s="5"/>
      <c r="E776" s="5"/>
      <c r="F776" s="5"/>
    </row>
    <row r="777" spans="3:6" ht="13.2" x14ac:dyDescent="0.25">
      <c r="C777" s="5"/>
      <c r="D777" s="5"/>
      <c r="E777" s="5"/>
      <c r="F777" s="5"/>
    </row>
    <row r="778" spans="3:6" ht="13.2" x14ac:dyDescent="0.25">
      <c r="C778" s="5"/>
      <c r="D778" s="5"/>
      <c r="E778" s="5"/>
      <c r="F778" s="5"/>
    </row>
    <row r="779" spans="3:6" ht="13.2" x14ac:dyDescent="0.25">
      <c r="C779" s="5"/>
      <c r="D779" s="5"/>
      <c r="E779" s="5"/>
      <c r="F779" s="5"/>
    </row>
    <row r="780" spans="3:6" ht="13.2" x14ac:dyDescent="0.25">
      <c r="C780" s="5"/>
      <c r="D780" s="5"/>
      <c r="E780" s="5"/>
      <c r="F780" s="5"/>
    </row>
    <row r="781" spans="3:6" ht="13.2" x14ac:dyDescent="0.25">
      <c r="C781" s="5"/>
      <c r="D781" s="5"/>
      <c r="E781" s="5"/>
      <c r="F781" s="5"/>
    </row>
    <row r="782" spans="3:6" ht="13.2" x14ac:dyDescent="0.25">
      <c r="C782" s="5"/>
      <c r="D782" s="5"/>
      <c r="E782" s="5"/>
      <c r="F782" s="5"/>
    </row>
    <row r="783" spans="3:6" ht="13.2" x14ac:dyDescent="0.25">
      <c r="C783" s="5"/>
      <c r="D783" s="5"/>
      <c r="E783" s="5"/>
      <c r="F783" s="5"/>
    </row>
    <row r="784" spans="3:6" ht="13.2" x14ac:dyDescent="0.25">
      <c r="C784" s="5"/>
      <c r="D784" s="5"/>
      <c r="E784" s="5"/>
      <c r="F784" s="5"/>
    </row>
    <row r="785" spans="3:6" ht="13.2" x14ac:dyDescent="0.25">
      <c r="C785" s="5"/>
      <c r="D785" s="5"/>
      <c r="E785" s="5"/>
      <c r="F785" s="5"/>
    </row>
    <row r="786" spans="3:6" ht="13.2" x14ac:dyDescent="0.25">
      <c r="C786" s="5"/>
      <c r="D786" s="5"/>
      <c r="E786" s="5"/>
      <c r="F786" s="5"/>
    </row>
    <row r="787" spans="3:6" ht="13.2" x14ac:dyDescent="0.25">
      <c r="C787" s="5"/>
      <c r="D787" s="5"/>
      <c r="E787" s="5"/>
      <c r="F787" s="5"/>
    </row>
    <row r="788" spans="3:6" ht="13.2" x14ac:dyDescent="0.25">
      <c r="C788" s="5"/>
      <c r="D788" s="5"/>
      <c r="E788" s="5"/>
      <c r="F788" s="5"/>
    </row>
    <row r="789" spans="3:6" ht="13.2" x14ac:dyDescent="0.25">
      <c r="C789" s="5"/>
      <c r="D789" s="5"/>
      <c r="E789" s="5"/>
      <c r="F789" s="5"/>
    </row>
    <row r="790" spans="3:6" ht="13.2" x14ac:dyDescent="0.25">
      <c r="C790" s="5"/>
      <c r="D790" s="5"/>
      <c r="E790" s="5"/>
      <c r="F790" s="5"/>
    </row>
    <row r="791" spans="3:6" ht="13.2" x14ac:dyDescent="0.25">
      <c r="C791" s="5"/>
      <c r="D791" s="5"/>
      <c r="E791" s="5"/>
      <c r="F791" s="5"/>
    </row>
    <row r="792" spans="3:6" ht="13.2" x14ac:dyDescent="0.25">
      <c r="C792" s="5"/>
      <c r="D792" s="5"/>
      <c r="E792" s="5"/>
      <c r="F792" s="5"/>
    </row>
    <row r="793" spans="3:6" ht="13.2" x14ac:dyDescent="0.25">
      <c r="C793" s="5"/>
      <c r="D793" s="5"/>
      <c r="E793" s="5"/>
      <c r="F793" s="5"/>
    </row>
    <row r="794" spans="3:6" ht="13.2" x14ac:dyDescent="0.25">
      <c r="C794" s="5"/>
      <c r="D794" s="5"/>
      <c r="E794" s="5"/>
      <c r="F794" s="5"/>
    </row>
    <row r="795" spans="3:6" ht="13.2" x14ac:dyDescent="0.25">
      <c r="C795" s="5"/>
      <c r="D795" s="5"/>
      <c r="E795" s="5"/>
      <c r="F795" s="5"/>
    </row>
    <row r="796" spans="3:6" ht="13.2" x14ac:dyDescent="0.25">
      <c r="C796" s="5"/>
      <c r="D796" s="5"/>
      <c r="E796" s="5"/>
      <c r="F796" s="5"/>
    </row>
    <row r="797" spans="3:6" ht="13.2" x14ac:dyDescent="0.25">
      <c r="C797" s="5"/>
      <c r="D797" s="5"/>
      <c r="E797" s="5"/>
      <c r="F797" s="5"/>
    </row>
    <row r="798" spans="3:6" ht="13.2" x14ac:dyDescent="0.25">
      <c r="C798" s="5"/>
      <c r="D798" s="5"/>
      <c r="E798" s="5"/>
      <c r="F798" s="5"/>
    </row>
    <row r="799" spans="3:6" ht="13.2" x14ac:dyDescent="0.25">
      <c r="C799" s="5"/>
      <c r="D799" s="5"/>
      <c r="E799" s="5"/>
      <c r="F799" s="5"/>
    </row>
    <row r="800" spans="3:6" ht="13.2" x14ac:dyDescent="0.25">
      <c r="C800" s="5"/>
      <c r="D800" s="5"/>
      <c r="E800" s="5"/>
      <c r="F800" s="5"/>
    </row>
    <row r="801" spans="3:6" ht="13.2" x14ac:dyDescent="0.25">
      <c r="C801" s="5"/>
      <c r="D801" s="5"/>
      <c r="E801" s="5"/>
      <c r="F801" s="5"/>
    </row>
    <row r="802" spans="3:6" ht="13.2" x14ac:dyDescent="0.25">
      <c r="C802" s="5"/>
      <c r="D802" s="5"/>
      <c r="E802" s="5"/>
      <c r="F802" s="5"/>
    </row>
    <row r="803" spans="3:6" ht="13.2" x14ac:dyDescent="0.25">
      <c r="C803" s="5"/>
      <c r="D803" s="5"/>
      <c r="E803" s="5"/>
      <c r="F803" s="5"/>
    </row>
    <row r="804" spans="3:6" ht="13.2" x14ac:dyDescent="0.25">
      <c r="C804" s="5"/>
      <c r="D804" s="5"/>
      <c r="E804" s="5"/>
      <c r="F804" s="5"/>
    </row>
    <row r="805" spans="3:6" ht="13.2" x14ac:dyDescent="0.25">
      <c r="C805" s="5"/>
      <c r="D805" s="5"/>
      <c r="E805" s="5"/>
      <c r="F805" s="5"/>
    </row>
    <row r="806" spans="3:6" ht="13.2" x14ac:dyDescent="0.25">
      <c r="C806" s="5"/>
      <c r="D806" s="5"/>
      <c r="E806" s="5"/>
      <c r="F806" s="5"/>
    </row>
    <row r="807" spans="3:6" ht="13.2" x14ac:dyDescent="0.25">
      <c r="C807" s="5"/>
      <c r="D807" s="5"/>
      <c r="E807" s="5"/>
      <c r="F807" s="5"/>
    </row>
    <row r="808" spans="3:6" ht="13.2" x14ac:dyDescent="0.25">
      <c r="C808" s="5"/>
      <c r="D808" s="5"/>
      <c r="E808" s="5"/>
      <c r="F808" s="5"/>
    </row>
    <row r="809" spans="3:6" ht="13.2" x14ac:dyDescent="0.25">
      <c r="C809" s="5"/>
      <c r="D809" s="5"/>
      <c r="E809" s="5"/>
      <c r="F809" s="5"/>
    </row>
    <row r="810" spans="3:6" ht="13.2" x14ac:dyDescent="0.25">
      <c r="C810" s="5"/>
      <c r="D810" s="5"/>
      <c r="E810" s="5"/>
      <c r="F810" s="5"/>
    </row>
    <row r="811" spans="3:6" ht="13.2" x14ac:dyDescent="0.25">
      <c r="C811" s="5"/>
      <c r="D811" s="5"/>
      <c r="E811" s="5"/>
      <c r="F811" s="5"/>
    </row>
    <row r="812" spans="3:6" ht="13.2" x14ac:dyDescent="0.25">
      <c r="C812" s="5"/>
      <c r="D812" s="5"/>
      <c r="E812" s="5"/>
      <c r="F812" s="5"/>
    </row>
    <row r="813" spans="3:6" ht="13.2" x14ac:dyDescent="0.25">
      <c r="C813" s="5"/>
      <c r="D813" s="5"/>
      <c r="E813" s="5"/>
      <c r="F813" s="5"/>
    </row>
    <row r="814" spans="3:6" ht="13.2" x14ac:dyDescent="0.25">
      <c r="C814" s="5"/>
      <c r="D814" s="5"/>
      <c r="E814" s="5"/>
      <c r="F814" s="5"/>
    </row>
    <row r="815" spans="3:6" ht="13.2" x14ac:dyDescent="0.25">
      <c r="C815" s="5"/>
      <c r="D815" s="5"/>
      <c r="E815" s="5"/>
      <c r="F815" s="5"/>
    </row>
    <row r="816" spans="3:6" ht="13.2" x14ac:dyDescent="0.25">
      <c r="C816" s="5"/>
      <c r="D816" s="5"/>
      <c r="E816" s="5"/>
      <c r="F816" s="5"/>
    </row>
    <row r="817" spans="3:6" ht="13.2" x14ac:dyDescent="0.25">
      <c r="C817" s="5"/>
      <c r="D817" s="5"/>
      <c r="E817" s="5"/>
      <c r="F817" s="5"/>
    </row>
    <row r="818" spans="3:6" ht="13.2" x14ac:dyDescent="0.25">
      <c r="C818" s="5"/>
      <c r="D818" s="5"/>
      <c r="E818" s="5"/>
      <c r="F818" s="5"/>
    </row>
    <row r="819" spans="3:6" ht="13.2" x14ac:dyDescent="0.25">
      <c r="C819" s="5"/>
      <c r="D819" s="5"/>
      <c r="E819" s="5"/>
      <c r="F819" s="5"/>
    </row>
    <row r="820" spans="3:6" ht="13.2" x14ac:dyDescent="0.25">
      <c r="C820" s="5"/>
      <c r="D820" s="5"/>
      <c r="E820" s="5"/>
      <c r="F820" s="5"/>
    </row>
    <row r="821" spans="3:6" ht="13.2" x14ac:dyDescent="0.25">
      <c r="C821" s="5"/>
      <c r="D821" s="5"/>
      <c r="E821" s="5"/>
      <c r="F821" s="5"/>
    </row>
    <row r="822" spans="3:6" ht="13.2" x14ac:dyDescent="0.25">
      <c r="C822" s="5"/>
      <c r="D822" s="5"/>
      <c r="E822" s="5"/>
      <c r="F822" s="5"/>
    </row>
    <row r="823" spans="3:6" ht="13.2" x14ac:dyDescent="0.25">
      <c r="C823" s="5"/>
      <c r="D823" s="5"/>
      <c r="E823" s="5"/>
      <c r="F823" s="5"/>
    </row>
    <row r="824" spans="3:6" ht="13.2" x14ac:dyDescent="0.25">
      <c r="C824" s="5"/>
      <c r="D824" s="5"/>
      <c r="E824" s="5"/>
      <c r="F824" s="5"/>
    </row>
    <row r="825" spans="3:6" ht="13.2" x14ac:dyDescent="0.25">
      <c r="C825" s="5"/>
      <c r="D825" s="5"/>
      <c r="E825" s="5"/>
      <c r="F825" s="5"/>
    </row>
    <row r="826" spans="3:6" ht="13.2" x14ac:dyDescent="0.25">
      <c r="C826" s="5"/>
      <c r="D826" s="5"/>
      <c r="E826" s="5"/>
      <c r="F826" s="5"/>
    </row>
    <row r="827" spans="3:6" ht="13.2" x14ac:dyDescent="0.25">
      <c r="C827" s="5"/>
      <c r="D827" s="5"/>
      <c r="E827" s="5"/>
      <c r="F827" s="5"/>
    </row>
    <row r="828" spans="3:6" ht="13.2" x14ac:dyDescent="0.25">
      <c r="C828" s="5"/>
      <c r="D828" s="5"/>
      <c r="E828" s="5"/>
      <c r="F828" s="5"/>
    </row>
    <row r="829" spans="3:6" ht="13.2" x14ac:dyDescent="0.25">
      <c r="C829" s="5"/>
      <c r="D829" s="5"/>
      <c r="E829" s="5"/>
      <c r="F829" s="5"/>
    </row>
    <row r="830" spans="3:6" ht="13.2" x14ac:dyDescent="0.25">
      <c r="C830" s="5"/>
      <c r="D830" s="5"/>
      <c r="E830" s="5"/>
      <c r="F830" s="5"/>
    </row>
    <row r="831" spans="3:6" ht="13.2" x14ac:dyDescent="0.25">
      <c r="C831" s="5"/>
      <c r="D831" s="5"/>
      <c r="E831" s="5"/>
      <c r="F831" s="5"/>
    </row>
    <row r="832" spans="3:6" ht="13.2" x14ac:dyDescent="0.25">
      <c r="C832" s="5"/>
      <c r="D832" s="5"/>
      <c r="E832" s="5"/>
      <c r="F832" s="5"/>
    </row>
    <row r="833" spans="3:6" ht="13.2" x14ac:dyDescent="0.25">
      <c r="C833" s="5"/>
      <c r="D833" s="5"/>
      <c r="E833" s="5"/>
      <c r="F833" s="5"/>
    </row>
    <row r="834" spans="3:6" ht="13.2" x14ac:dyDescent="0.25">
      <c r="C834" s="5"/>
      <c r="D834" s="5"/>
      <c r="E834" s="5"/>
      <c r="F834" s="5"/>
    </row>
    <row r="835" spans="3:6" ht="13.2" x14ac:dyDescent="0.25">
      <c r="C835" s="5"/>
      <c r="D835" s="5"/>
      <c r="E835" s="5"/>
      <c r="F835" s="5"/>
    </row>
    <row r="836" spans="3:6" ht="13.2" x14ac:dyDescent="0.25">
      <c r="C836" s="5"/>
      <c r="D836" s="5"/>
      <c r="E836" s="5"/>
      <c r="F836" s="5"/>
    </row>
    <row r="837" spans="3:6" ht="13.2" x14ac:dyDescent="0.25">
      <c r="C837" s="5"/>
      <c r="D837" s="5"/>
      <c r="E837" s="5"/>
      <c r="F837" s="5"/>
    </row>
    <row r="838" spans="3:6" ht="13.2" x14ac:dyDescent="0.25">
      <c r="C838" s="5"/>
      <c r="D838" s="5"/>
      <c r="E838" s="5"/>
      <c r="F838" s="5"/>
    </row>
    <row r="839" spans="3:6" ht="13.2" x14ac:dyDescent="0.25">
      <c r="C839" s="5"/>
      <c r="D839" s="5"/>
      <c r="E839" s="5"/>
      <c r="F839" s="5"/>
    </row>
    <row r="840" spans="3:6" ht="13.2" x14ac:dyDescent="0.25">
      <c r="C840" s="5"/>
      <c r="D840" s="5"/>
      <c r="E840" s="5"/>
      <c r="F840" s="5"/>
    </row>
    <row r="841" spans="3:6" ht="13.2" x14ac:dyDescent="0.25">
      <c r="C841" s="5"/>
      <c r="D841" s="5"/>
      <c r="E841" s="5"/>
      <c r="F841" s="5"/>
    </row>
    <row r="842" spans="3:6" ht="13.2" x14ac:dyDescent="0.25">
      <c r="C842" s="5"/>
      <c r="D842" s="5"/>
      <c r="E842" s="5"/>
      <c r="F842" s="5"/>
    </row>
    <row r="843" spans="3:6" ht="13.2" x14ac:dyDescent="0.25">
      <c r="C843" s="5"/>
      <c r="D843" s="5"/>
      <c r="E843" s="5"/>
      <c r="F843" s="5"/>
    </row>
    <row r="844" spans="3:6" ht="13.2" x14ac:dyDescent="0.25">
      <c r="C844" s="5"/>
      <c r="D844" s="5"/>
      <c r="E844" s="5"/>
      <c r="F844" s="5"/>
    </row>
    <row r="845" spans="3:6" ht="13.2" x14ac:dyDescent="0.25">
      <c r="C845" s="5"/>
      <c r="D845" s="5"/>
      <c r="E845" s="5"/>
      <c r="F845" s="5"/>
    </row>
    <row r="846" spans="3:6" ht="13.2" x14ac:dyDescent="0.25">
      <c r="C846" s="5"/>
      <c r="D846" s="5"/>
      <c r="E846" s="5"/>
      <c r="F846" s="5"/>
    </row>
    <row r="847" spans="3:6" ht="13.2" x14ac:dyDescent="0.25">
      <c r="C847" s="5"/>
      <c r="D847" s="5"/>
      <c r="E847" s="5"/>
      <c r="F847" s="5"/>
    </row>
    <row r="848" spans="3:6" ht="13.2" x14ac:dyDescent="0.25">
      <c r="C848" s="5"/>
      <c r="D848" s="5"/>
      <c r="E848" s="5"/>
      <c r="F848" s="5"/>
    </row>
    <row r="849" spans="3:6" ht="13.2" x14ac:dyDescent="0.25">
      <c r="C849" s="5"/>
      <c r="D849" s="5"/>
      <c r="E849" s="5"/>
      <c r="F849" s="5"/>
    </row>
    <row r="850" spans="3:6" ht="13.2" x14ac:dyDescent="0.25">
      <c r="C850" s="5"/>
      <c r="D850" s="5"/>
      <c r="E850" s="5"/>
      <c r="F850" s="5"/>
    </row>
    <row r="851" spans="3:6" ht="13.2" x14ac:dyDescent="0.25">
      <c r="C851" s="5"/>
      <c r="D851" s="5"/>
      <c r="E851" s="5"/>
      <c r="F851" s="5"/>
    </row>
    <row r="852" spans="3:6" ht="13.2" x14ac:dyDescent="0.25">
      <c r="C852" s="5"/>
      <c r="D852" s="5"/>
      <c r="E852" s="5"/>
      <c r="F852" s="5"/>
    </row>
    <row r="853" spans="3:6" ht="13.2" x14ac:dyDescent="0.25">
      <c r="C853" s="5"/>
      <c r="D853" s="5"/>
      <c r="E853" s="5"/>
      <c r="F853" s="5"/>
    </row>
    <row r="854" spans="3:6" ht="13.2" x14ac:dyDescent="0.25">
      <c r="C854" s="5"/>
      <c r="D854" s="5"/>
      <c r="E854" s="5"/>
      <c r="F854" s="5"/>
    </row>
    <row r="855" spans="3:6" ht="13.2" x14ac:dyDescent="0.25">
      <c r="C855" s="5"/>
      <c r="D855" s="5"/>
      <c r="E855" s="5"/>
      <c r="F855" s="5"/>
    </row>
    <row r="856" spans="3:6" ht="13.2" x14ac:dyDescent="0.25">
      <c r="C856" s="5"/>
      <c r="D856" s="5"/>
      <c r="E856" s="5"/>
      <c r="F856" s="5"/>
    </row>
    <row r="857" spans="3:6" ht="13.2" x14ac:dyDescent="0.25">
      <c r="C857" s="5"/>
      <c r="D857" s="5"/>
      <c r="E857" s="5"/>
      <c r="F857" s="5"/>
    </row>
    <row r="858" spans="3:6" ht="13.2" x14ac:dyDescent="0.25">
      <c r="C858" s="5"/>
      <c r="D858" s="5"/>
      <c r="E858" s="5"/>
      <c r="F858" s="5"/>
    </row>
    <row r="859" spans="3:6" ht="13.2" x14ac:dyDescent="0.25">
      <c r="C859" s="5"/>
      <c r="D859" s="5"/>
      <c r="E859" s="5"/>
      <c r="F859" s="5"/>
    </row>
    <row r="860" spans="3:6" ht="13.2" x14ac:dyDescent="0.25">
      <c r="C860" s="5"/>
      <c r="D860" s="5"/>
      <c r="E860" s="5"/>
      <c r="F860" s="5"/>
    </row>
    <row r="861" spans="3:6" ht="13.2" x14ac:dyDescent="0.25">
      <c r="C861" s="5"/>
      <c r="D861" s="5"/>
      <c r="E861" s="5"/>
      <c r="F861" s="5"/>
    </row>
    <row r="862" spans="3:6" ht="13.2" x14ac:dyDescent="0.25">
      <c r="C862" s="5"/>
      <c r="D862" s="5"/>
      <c r="E862" s="5"/>
      <c r="F862" s="5"/>
    </row>
    <row r="863" spans="3:6" ht="13.2" x14ac:dyDescent="0.25">
      <c r="C863" s="5"/>
      <c r="D863" s="5"/>
      <c r="E863" s="5"/>
      <c r="F863" s="5"/>
    </row>
    <row r="864" spans="3:6" ht="13.2" x14ac:dyDescent="0.25">
      <c r="C864" s="5"/>
      <c r="D864" s="5"/>
      <c r="E864" s="5"/>
      <c r="F864" s="5"/>
    </row>
    <row r="865" spans="3:6" ht="13.2" x14ac:dyDescent="0.25">
      <c r="C865" s="5"/>
      <c r="D865" s="5"/>
      <c r="E865" s="5"/>
      <c r="F865" s="5"/>
    </row>
    <row r="866" spans="3:6" ht="13.2" x14ac:dyDescent="0.25">
      <c r="C866" s="5"/>
      <c r="D866" s="5"/>
      <c r="E866" s="5"/>
      <c r="F866" s="5"/>
    </row>
    <row r="867" spans="3:6" ht="13.2" x14ac:dyDescent="0.25">
      <c r="C867" s="5"/>
      <c r="D867" s="5"/>
      <c r="E867" s="5"/>
      <c r="F867" s="5"/>
    </row>
    <row r="868" spans="3:6" ht="13.2" x14ac:dyDescent="0.25">
      <c r="C868" s="5"/>
      <c r="D868" s="5"/>
      <c r="E868" s="5"/>
      <c r="F868" s="5"/>
    </row>
    <row r="869" spans="3:6" ht="13.2" x14ac:dyDescent="0.25">
      <c r="C869" s="5"/>
      <c r="D869" s="5"/>
      <c r="E869" s="5"/>
      <c r="F869" s="5"/>
    </row>
    <row r="870" spans="3:6" ht="13.2" x14ac:dyDescent="0.25">
      <c r="C870" s="5"/>
      <c r="D870" s="5"/>
      <c r="E870" s="5"/>
      <c r="F870" s="5"/>
    </row>
    <row r="871" spans="3:6" ht="13.2" x14ac:dyDescent="0.25">
      <c r="C871" s="5"/>
      <c r="D871" s="5"/>
      <c r="E871" s="5"/>
      <c r="F871" s="5"/>
    </row>
    <row r="872" spans="3:6" ht="13.2" x14ac:dyDescent="0.25">
      <c r="C872" s="5"/>
      <c r="D872" s="5"/>
      <c r="E872" s="5"/>
      <c r="F872" s="5"/>
    </row>
    <row r="873" spans="3:6" ht="13.2" x14ac:dyDescent="0.25">
      <c r="C873" s="5"/>
      <c r="D873" s="5"/>
      <c r="E873" s="5"/>
      <c r="F873" s="5"/>
    </row>
    <row r="874" spans="3:6" ht="13.2" x14ac:dyDescent="0.25">
      <c r="C874" s="5"/>
      <c r="D874" s="5"/>
      <c r="E874" s="5"/>
      <c r="F874" s="5"/>
    </row>
    <row r="875" spans="3:6" ht="13.2" x14ac:dyDescent="0.25">
      <c r="C875" s="5"/>
      <c r="D875" s="5"/>
      <c r="E875" s="5"/>
      <c r="F875" s="5"/>
    </row>
    <row r="876" spans="3:6" ht="13.2" x14ac:dyDescent="0.25">
      <c r="C876" s="5"/>
      <c r="D876" s="5"/>
      <c r="E876" s="5"/>
      <c r="F876" s="5"/>
    </row>
    <row r="877" spans="3:6" ht="13.2" x14ac:dyDescent="0.25">
      <c r="C877" s="5"/>
      <c r="D877" s="5"/>
      <c r="E877" s="5"/>
      <c r="F877" s="5"/>
    </row>
    <row r="878" spans="3:6" ht="13.2" x14ac:dyDescent="0.25">
      <c r="C878" s="5"/>
      <c r="D878" s="5"/>
      <c r="E878" s="5"/>
      <c r="F878" s="5"/>
    </row>
    <row r="879" spans="3:6" ht="13.2" x14ac:dyDescent="0.25">
      <c r="C879" s="5"/>
      <c r="D879" s="5"/>
      <c r="E879" s="5"/>
      <c r="F879" s="5"/>
    </row>
    <row r="880" spans="3:6" ht="13.2" x14ac:dyDescent="0.25">
      <c r="C880" s="5"/>
      <c r="D880" s="5"/>
      <c r="E880" s="5"/>
      <c r="F880" s="5"/>
    </row>
    <row r="881" spans="3:6" ht="13.2" x14ac:dyDescent="0.25">
      <c r="C881" s="5"/>
      <c r="D881" s="5"/>
      <c r="E881" s="5"/>
      <c r="F881" s="5"/>
    </row>
    <row r="882" spans="3:6" ht="13.2" x14ac:dyDescent="0.25">
      <c r="C882" s="5"/>
      <c r="D882" s="5"/>
      <c r="E882" s="5"/>
      <c r="F882" s="5"/>
    </row>
    <row r="883" spans="3:6" ht="13.2" x14ac:dyDescent="0.25">
      <c r="C883" s="5"/>
      <c r="D883" s="5"/>
      <c r="E883" s="5"/>
      <c r="F883" s="5"/>
    </row>
    <row r="884" spans="3:6" ht="13.2" x14ac:dyDescent="0.25">
      <c r="C884" s="5"/>
      <c r="D884" s="5"/>
      <c r="E884" s="5"/>
      <c r="F884" s="5"/>
    </row>
    <row r="885" spans="3:6" ht="13.2" x14ac:dyDescent="0.25">
      <c r="C885" s="5"/>
      <c r="D885" s="5"/>
      <c r="E885" s="5"/>
      <c r="F885" s="5"/>
    </row>
    <row r="886" spans="3:6" ht="13.2" x14ac:dyDescent="0.25">
      <c r="C886" s="5"/>
      <c r="D886" s="5"/>
      <c r="E886" s="5"/>
      <c r="F886" s="5"/>
    </row>
    <row r="887" spans="3:6" ht="13.2" x14ac:dyDescent="0.25">
      <c r="C887" s="5"/>
      <c r="D887" s="5"/>
      <c r="E887" s="5"/>
      <c r="F887" s="5"/>
    </row>
    <row r="888" spans="3:6" ht="13.2" x14ac:dyDescent="0.25">
      <c r="C888" s="5"/>
      <c r="D888" s="5"/>
      <c r="E888" s="5"/>
      <c r="F888" s="5"/>
    </row>
    <row r="889" spans="3:6" ht="13.2" x14ac:dyDescent="0.25">
      <c r="C889" s="5"/>
      <c r="D889" s="5"/>
      <c r="E889" s="5"/>
      <c r="F889" s="5"/>
    </row>
    <row r="890" spans="3:6" ht="13.2" x14ac:dyDescent="0.25">
      <c r="C890" s="5"/>
      <c r="D890" s="5"/>
      <c r="E890" s="5"/>
      <c r="F890" s="5"/>
    </row>
    <row r="891" spans="3:6" ht="13.2" x14ac:dyDescent="0.25">
      <c r="C891" s="5"/>
      <c r="D891" s="5"/>
      <c r="E891" s="5"/>
      <c r="F891" s="5"/>
    </row>
    <row r="892" spans="3:6" ht="13.2" x14ac:dyDescent="0.25">
      <c r="C892" s="5"/>
      <c r="D892" s="5"/>
      <c r="E892" s="5"/>
      <c r="F892" s="5"/>
    </row>
    <row r="893" spans="3:6" ht="13.2" x14ac:dyDescent="0.25">
      <c r="C893" s="5"/>
      <c r="D893" s="5"/>
      <c r="E893" s="5"/>
      <c r="F893" s="5"/>
    </row>
    <row r="894" spans="3:6" ht="13.2" x14ac:dyDescent="0.25">
      <c r="C894" s="5"/>
      <c r="D894" s="5"/>
      <c r="E894" s="5"/>
      <c r="F894" s="5"/>
    </row>
    <row r="895" spans="3:6" ht="13.2" x14ac:dyDescent="0.25">
      <c r="C895" s="5"/>
      <c r="D895" s="5"/>
      <c r="E895" s="5"/>
      <c r="F895" s="5"/>
    </row>
    <row r="896" spans="3:6" ht="13.2" x14ac:dyDescent="0.25">
      <c r="C896" s="5"/>
      <c r="D896" s="5"/>
      <c r="E896" s="5"/>
      <c r="F896" s="5"/>
    </row>
    <row r="897" spans="3:6" ht="13.2" x14ac:dyDescent="0.25">
      <c r="C897" s="5"/>
      <c r="D897" s="5"/>
      <c r="E897" s="5"/>
      <c r="F897" s="5"/>
    </row>
    <row r="898" spans="3:6" ht="13.2" x14ac:dyDescent="0.25">
      <c r="C898" s="5"/>
      <c r="D898" s="5"/>
      <c r="E898" s="5"/>
      <c r="F898" s="5"/>
    </row>
    <row r="899" spans="3:6" ht="13.2" x14ac:dyDescent="0.25">
      <c r="C899" s="5"/>
      <c r="D899" s="5"/>
      <c r="E899" s="5"/>
      <c r="F899" s="5"/>
    </row>
    <row r="900" spans="3:6" ht="13.2" x14ac:dyDescent="0.25">
      <c r="C900" s="5"/>
      <c r="D900" s="5"/>
      <c r="E900" s="5"/>
      <c r="F900" s="5"/>
    </row>
    <row r="901" spans="3:6" ht="13.2" x14ac:dyDescent="0.25">
      <c r="C901" s="5"/>
      <c r="D901" s="5"/>
      <c r="E901" s="5"/>
      <c r="F901" s="5"/>
    </row>
    <row r="902" spans="3:6" ht="13.2" x14ac:dyDescent="0.25">
      <c r="C902" s="5"/>
      <c r="D902" s="5"/>
      <c r="E902" s="5"/>
      <c r="F902" s="5"/>
    </row>
    <row r="903" spans="3:6" ht="13.2" x14ac:dyDescent="0.25">
      <c r="C903" s="5"/>
      <c r="D903" s="5"/>
      <c r="E903" s="5"/>
      <c r="F903" s="5"/>
    </row>
    <row r="904" spans="3:6" ht="13.2" x14ac:dyDescent="0.25">
      <c r="C904" s="5"/>
      <c r="D904" s="5"/>
      <c r="E904" s="5"/>
      <c r="F904" s="5"/>
    </row>
    <row r="905" spans="3:6" ht="13.2" x14ac:dyDescent="0.25">
      <c r="C905" s="5"/>
      <c r="D905" s="5"/>
      <c r="E905" s="5"/>
      <c r="F905" s="5"/>
    </row>
    <row r="906" spans="3:6" ht="13.2" x14ac:dyDescent="0.25">
      <c r="C906" s="5"/>
      <c r="D906" s="5"/>
      <c r="E906" s="5"/>
      <c r="F906" s="5"/>
    </row>
    <row r="907" spans="3:6" ht="13.2" x14ac:dyDescent="0.25">
      <c r="C907" s="5"/>
      <c r="D907" s="5"/>
      <c r="E907" s="5"/>
      <c r="F907" s="5"/>
    </row>
    <row r="908" spans="3:6" ht="13.2" x14ac:dyDescent="0.25">
      <c r="C908" s="5"/>
      <c r="D908" s="5"/>
      <c r="E908" s="5"/>
      <c r="F908" s="5"/>
    </row>
    <row r="909" spans="3:6" ht="13.2" x14ac:dyDescent="0.25">
      <c r="C909" s="5"/>
      <c r="D909" s="5"/>
      <c r="E909" s="5"/>
      <c r="F909" s="5"/>
    </row>
    <row r="910" spans="3:6" ht="13.2" x14ac:dyDescent="0.25">
      <c r="C910" s="5"/>
      <c r="D910" s="5"/>
      <c r="E910" s="5"/>
      <c r="F910" s="5"/>
    </row>
    <row r="911" spans="3:6" ht="13.2" x14ac:dyDescent="0.25">
      <c r="C911" s="5"/>
      <c r="D911" s="5"/>
      <c r="E911" s="5"/>
      <c r="F911" s="5"/>
    </row>
    <row r="912" spans="3:6" ht="13.2" x14ac:dyDescent="0.25">
      <c r="C912" s="5"/>
      <c r="D912" s="5"/>
      <c r="E912" s="5"/>
      <c r="F912" s="5"/>
    </row>
    <row r="913" spans="3:6" ht="13.2" x14ac:dyDescent="0.25">
      <c r="C913" s="5"/>
      <c r="D913" s="5"/>
      <c r="E913" s="5"/>
      <c r="F913" s="5"/>
    </row>
    <row r="914" spans="3:6" ht="13.2" x14ac:dyDescent="0.25">
      <c r="C914" s="5"/>
      <c r="D914" s="5"/>
      <c r="E914" s="5"/>
      <c r="F914" s="5"/>
    </row>
    <row r="915" spans="3:6" ht="13.2" x14ac:dyDescent="0.25">
      <c r="C915" s="5"/>
      <c r="D915" s="5"/>
      <c r="E915" s="5"/>
      <c r="F915" s="5"/>
    </row>
    <row r="916" spans="3:6" ht="13.2" x14ac:dyDescent="0.25">
      <c r="C916" s="5"/>
      <c r="D916" s="5"/>
      <c r="E916" s="5"/>
      <c r="F916" s="5"/>
    </row>
    <row r="917" spans="3:6" ht="13.2" x14ac:dyDescent="0.25">
      <c r="C917" s="5"/>
      <c r="D917" s="5"/>
      <c r="E917" s="5"/>
      <c r="F917" s="5"/>
    </row>
    <row r="918" spans="3:6" ht="13.2" x14ac:dyDescent="0.25">
      <c r="C918" s="5"/>
      <c r="D918" s="5"/>
      <c r="E918" s="5"/>
      <c r="F918" s="5"/>
    </row>
    <row r="919" spans="3:6" ht="13.2" x14ac:dyDescent="0.25">
      <c r="C919" s="5"/>
      <c r="D919" s="5"/>
      <c r="E919" s="5"/>
      <c r="F919" s="5"/>
    </row>
    <row r="920" spans="3:6" ht="13.2" x14ac:dyDescent="0.25">
      <c r="C920" s="5"/>
      <c r="D920" s="5"/>
      <c r="E920" s="5"/>
      <c r="F920" s="5"/>
    </row>
    <row r="921" spans="3:6" ht="13.2" x14ac:dyDescent="0.25">
      <c r="C921" s="5"/>
      <c r="D921" s="5"/>
      <c r="E921" s="5"/>
      <c r="F921" s="5"/>
    </row>
    <row r="922" spans="3:6" ht="13.2" x14ac:dyDescent="0.25">
      <c r="C922" s="5"/>
      <c r="D922" s="5"/>
      <c r="E922" s="5"/>
      <c r="F922" s="5"/>
    </row>
    <row r="923" spans="3:6" ht="13.2" x14ac:dyDescent="0.25">
      <c r="C923" s="5"/>
      <c r="D923" s="5"/>
      <c r="E923" s="5"/>
      <c r="F923" s="5"/>
    </row>
    <row r="924" spans="3:6" ht="13.2" x14ac:dyDescent="0.25">
      <c r="C924" s="5"/>
      <c r="D924" s="5"/>
      <c r="E924" s="5"/>
      <c r="F924" s="5"/>
    </row>
    <row r="925" spans="3:6" ht="13.2" x14ac:dyDescent="0.25">
      <c r="C925" s="5"/>
      <c r="D925" s="5"/>
      <c r="E925" s="5"/>
      <c r="F925" s="5"/>
    </row>
    <row r="926" spans="3:6" ht="13.2" x14ac:dyDescent="0.25">
      <c r="C926" s="5"/>
      <c r="D926" s="5"/>
      <c r="E926" s="5"/>
      <c r="F926" s="5"/>
    </row>
    <row r="927" spans="3:6" ht="13.2" x14ac:dyDescent="0.25">
      <c r="C927" s="5"/>
      <c r="D927" s="5"/>
      <c r="E927" s="5"/>
      <c r="F927" s="5"/>
    </row>
    <row r="928" spans="3:6" ht="13.2" x14ac:dyDescent="0.25">
      <c r="C928" s="5"/>
      <c r="D928" s="5"/>
      <c r="E928" s="5"/>
      <c r="F928" s="5"/>
    </row>
    <row r="929" spans="3:6" ht="13.2" x14ac:dyDescent="0.25">
      <c r="C929" s="5"/>
      <c r="D929" s="5"/>
      <c r="E929" s="5"/>
      <c r="F929" s="5"/>
    </row>
    <row r="930" spans="3:6" ht="13.2" x14ac:dyDescent="0.25">
      <c r="C930" s="5"/>
      <c r="D930" s="5"/>
      <c r="E930" s="5"/>
      <c r="F930" s="5"/>
    </row>
    <row r="931" spans="3:6" ht="13.2" x14ac:dyDescent="0.25">
      <c r="C931" s="5"/>
      <c r="D931" s="5"/>
      <c r="E931" s="5"/>
      <c r="F931" s="5"/>
    </row>
    <row r="932" spans="3:6" ht="13.2" x14ac:dyDescent="0.25">
      <c r="C932" s="5"/>
      <c r="D932" s="5"/>
      <c r="E932" s="5"/>
      <c r="F932" s="5"/>
    </row>
    <row r="933" spans="3:6" ht="13.2" x14ac:dyDescent="0.25">
      <c r="C933" s="5"/>
      <c r="D933" s="5"/>
      <c r="E933" s="5"/>
      <c r="F933" s="5"/>
    </row>
    <row r="934" spans="3:6" ht="13.2" x14ac:dyDescent="0.25">
      <c r="C934" s="5"/>
      <c r="D934" s="5"/>
      <c r="E934" s="5"/>
      <c r="F934" s="5"/>
    </row>
    <row r="935" spans="3:6" ht="13.2" x14ac:dyDescent="0.25">
      <c r="C935" s="5"/>
      <c r="D935" s="5"/>
      <c r="E935" s="5"/>
      <c r="F935" s="5"/>
    </row>
    <row r="936" spans="3:6" ht="13.2" x14ac:dyDescent="0.25">
      <c r="C936" s="5"/>
      <c r="D936" s="5"/>
      <c r="E936" s="5"/>
      <c r="F936" s="5"/>
    </row>
    <row r="937" spans="3:6" ht="13.2" x14ac:dyDescent="0.25">
      <c r="C937" s="5"/>
      <c r="D937" s="5"/>
      <c r="E937" s="5"/>
      <c r="F937" s="5"/>
    </row>
    <row r="938" spans="3:6" ht="13.2" x14ac:dyDescent="0.25">
      <c r="C938" s="5"/>
      <c r="D938" s="5"/>
      <c r="E938" s="5"/>
      <c r="F938" s="5"/>
    </row>
    <row r="939" spans="3:6" ht="13.2" x14ac:dyDescent="0.25">
      <c r="C939" s="5"/>
      <c r="D939" s="5"/>
      <c r="E939" s="5"/>
      <c r="F939" s="5"/>
    </row>
    <row r="940" spans="3:6" ht="13.2" x14ac:dyDescent="0.25">
      <c r="C940" s="5"/>
      <c r="D940" s="5"/>
      <c r="E940" s="5"/>
      <c r="F940" s="5"/>
    </row>
    <row r="941" spans="3:6" ht="13.2" x14ac:dyDescent="0.25">
      <c r="C941" s="5"/>
      <c r="D941" s="5"/>
      <c r="E941" s="5"/>
      <c r="F941" s="5"/>
    </row>
    <row r="942" spans="3:6" ht="13.2" x14ac:dyDescent="0.25">
      <c r="C942" s="5"/>
      <c r="D942" s="5"/>
      <c r="E942" s="5"/>
      <c r="F942" s="5"/>
    </row>
    <row r="943" spans="3:6" ht="13.2" x14ac:dyDescent="0.25">
      <c r="C943" s="5"/>
      <c r="D943" s="5"/>
      <c r="E943" s="5"/>
      <c r="F943" s="5"/>
    </row>
    <row r="944" spans="3:6" ht="13.2" x14ac:dyDescent="0.25">
      <c r="C944" s="5"/>
      <c r="D944" s="5"/>
      <c r="E944" s="5"/>
      <c r="F944" s="5"/>
    </row>
    <row r="945" spans="3:6" ht="13.2" x14ac:dyDescent="0.25">
      <c r="C945" s="5"/>
      <c r="D945" s="5"/>
      <c r="E945" s="5"/>
      <c r="F945" s="5"/>
    </row>
    <row r="946" spans="3:6" ht="13.2" x14ac:dyDescent="0.25">
      <c r="C946" s="5"/>
      <c r="D946" s="5"/>
      <c r="E946" s="5"/>
      <c r="F946" s="5"/>
    </row>
    <row r="947" spans="3:6" ht="13.2" x14ac:dyDescent="0.25">
      <c r="C947" s="5"/>
      <c r="D947" s="5"/>
      <c r="E947" s="5"/>
      <c r="F947" s="5"/>
    </row>
    <row r="948" spans="3:6" ht="13.2" x14ac:dyDescent="0.25">
      <c r="C948" s="5"/>
      <c r="D948" s="5"/>
      <c r="E948" s="5"/>
      <c r="F948" s="5"/>
    </row>
    <row r="949" spans="3:6" ht="13.2" x14ac:dyDescent="0.25">
      <c r="C949" s="5"/>
      <c r="D949" s="5"/>
      <c r="E949" s="5"/>
      <c r="F949" s="5"/>
    </row>
    <row r="950" spans="3:6" ht="13.2" x14ac:dyDescent="0.25">
      <c r="C950" s="5"/>
      <c r="D950" s="5"/>
      <c r="E950" s="5"/>
      <c r="F950" s="5"/>
    </row>
    <row r="951" spans="3:6" ht="13.2" x14ac:dyDescent="0.25">
      <c r="C951" s="5"/>
      <c r="D951" s="5"/>
      <c r="E951" s="5"/>
      <c r="F951" s="5"/>
    </row>
    <row r="952" spans="3:6" ht="13.2" x14ac:dyDescent="0.25">
      <c r="C952" s="5"/>
      <c r="D952" s="5"/>
      <c r="E952" s="5"/>
      <c r="F952" s="5"/>
    </row>
    <row r="953" spans="3:6" ht="13.2" x14ac:dyDescent="0.25">
      <c r="C953" s="5"/>
      <c r="D953" s="5"/>
      <c r="E953" s="5"/>
      <c r="F953" s="5"/>
    </row>
    <row r="954" spans="3:6" ht="13.2" x14ac:dyDescent="0.25">
      <c r="C954" s="5"/>
      <c r="D954" s="5"/>
      <c r="E954" s="5"/>
      <c r="F954" s="5"/>
    </row>
    <row r="955" spans="3:6" ht="13.2" x14ac:dyDescent="0.25">
      <c r="C955" s="5"/>
      <c r="D955" s="5"/>
      <c r="E955" s="5"/>
      <c r="F955" s="5"/>
    </row>
    <row r="956" spans="3:6" ht="13.2" x14ac:dyDescent="0.25">
      <c r="C956" s="5"/>
      <c r="D956" s="5"/>
      <c r="E956" s="5"/>
      <c r="F956" s="5"/>
    </row>
    <row r="957" spans="3:6" ht="13.2" x14ac:dyDescent="0.25">
      <c r="C957" s="5"/>
      <c r="D957" s="5"/>
      <c r="E957" s="5"/>
      <c r="F957" s="5"/>
    </row>
    <row r="958" spans="3:6" ht="13.2" x14ac:dyDescent="0.25">
      <c r="C958" s="5"/>
      <c r="D958" s="5"/>
      <c r="E958" s="5"/>
      <c r="F958" s="5"/>
    </row>
    <row r="959" spans="3:6" ht="13.2" x14ac:dyDescent="0.25">
      <c r="C959" s="5"/>
      <c r="D959" s="5"/>
      <c r="E959" s="5"/>
      <c r="F959" s="5"/>
    </row>
    <row r="960" spans="3:6" ht="13.2" x14ac:dyDescent="0.25">
      <c r="C960" s="5"/>
      <c r="D960" s="5"/>
      <c r="E960" s="5"/>
      <c r="F960" s="5"/>
    </row>
    <row r="961" spans="3:6" ht="13.2" x14ac:dyDescent="0.25">
      <c r="C961" s="5"/>
      <c r="D961" s="5"/>
      <c r="E961" s="5"/>
      <c r="F961" s="5"/>
    </row>
    <row r="962" spans="3:6" ht="13.2" x14ac:dyDescent="0.25">
      <c r="C962" s="5"/>
      <c r="D962" s="5"/>
      <c r="E962" s="5"/>
      <c r="F962" s="5"/>
    </row>
    <row r="963" spans="3:6" ht="13.2" x14ac:dyDescent="0.25">
      <c r="C963" s="5"/>
      <c r="D963" s="5"/>
      <c r="E963" s="5"/>
      <c r="F963" s="5"/>
    </row>
    <row r="964" spans="3:6" ht="13.2" x14ac:dyDescent="0.25">
      <c r="C964" s="5"/>
      <c r="D964" s="5"/>
      <c r="E964" s="5"/>
      <c r="F964" s="5"/>
    </row>
    <row r="965" spans="3:6" ht="13.2" x14ac:dyDescent="0.25">
      <c r="C965" s="5"/>
      <c r="D965" s="5"/>
      <c r="E965" s="5"/>
      <c r="F965" s="5"/>
    </row>
    <row r="966" spans="3:6" ht="13.2" x14ac:dyDescent="0.25">
      <c r="C966" s="5"/>
      <c r="D966" s="5"/>
      <c r="E966" s="5"/>
      <c r="F966" s="5"/>
    </row>
    <row r="967" spans="3:6" ht="13.2" x14ac:dyDescent="0.25">
      <c r="C967" s="5"/>
      <c r="D967" s="5"/>
      <c r="E967" s="5"/>
      <c r="F967" s="5"/>
    </row>
    <row r="968" spans="3:6" ht="13.2" x14ac:dyDescent="0.25">
      <c r="C968" s="5"/>
      <c r="D968" s="5"/>
      <c r="E968" s="5"/>
      <c r="F968" s="5"/>
    </row>
    <row r="969" spans="3:6" ht="13.2" x14ac:dyDescent="0.25">
      <c r="C969" s="5"/>
      <c r="D969" s="5"/>
      <c r="E969" s="5"/>
      <c r="F969" s="5"/>
    </row>
    <row r="970" spans="3:6" ht="13.2" x14ac:dyDescent="0.25">
      <c r="C970" s="5"/>
      <c r="D970" s="5"/>
      <c r="E970" s="5"/>
      <c r="F970" s="5"/>
    </row>
    <row r="971" spans="3:6" ht="13.2" x14ac:dyDescent="0.25">
      <c r="C971" s="5"/>
      <c r="D971" s="5"/>
      <c r="E971" s="5"/>
      <c r="F971" s="5"/>
    </row>
    <row r="972" spans="3:6" ht="13.2" x14ac:dyDescent="0.25">
      <c r="C972" s="5"/>
      <c r="D972" s="5"/>
      <c r="E972" s="5"/>
      <c r="F972" s="5"/>
    </row>
    <row r="973" spans="3:6" ht="13.2" x14ac:dyDescent="0.25">
      <c r="C973" s="5"/>
      <c r="D973" s="5"/>
      <c r="E973" s="5"/>
      <c r="F973" s="5"/>
    </row>
    <row r="974" spans="3:6" ht="13.2" x14ac:dyDescent="0.25">
      <c r="C974" s="5"/>
      <c r="D974" s="5"/>
      <c r="E974" s="5"/>
      <c r="F974" s="5"/>
    </row>
    <row r="975" spans="3:6" ht="13.2" x14ac:dyDescent="0.25">
      <c r="C975" s="5"/>
      <c r="D975" s="5"/>
      <c r="E975" s="5"/>
      <c r="F975" s="5"/>
    </row>
    <row r="976" spans="3:6" ht="13.2" x14ac:dyDescent="0.25">
      <c r="C976" s="5"/>
      <c r="D976" s="5"/>
      <c r="E976" s="5"/>
      <c r="F976" s="5"/>
    </row>
    <row r="977" spans="3:6" ht="13.2" x14ac:dyDescent="0.25">
      <c r="C977" s="5"/>
      <c r="D977" s="5"/>
      <c r="E977" s="5"/>
      <c r="F977" s="5"/>
    </row>
    <row r="978" spans="3:6" ht="13.2" x14ac:dyDescent="0.25">
      <c r="C978" s="5"/>
      <c r="D978" s="5"/>
      <c r="E978" s="5"/>
      <c r="F978" s="5"/>
    </row>
    <row r="979" spans="3:6" ht="13.2" x14ac:dyDescent="0.25">
      <c r="C979" s="5"/>
      <c r="D979" s="5"/>
      <c r="E979" s="5"/>
      <c r="F979" s="5"/>
    </row>
    <row r="980" spans="3:6" ht="13.2" x14ac:dyDescent="0.25">
      <c r="C980" s="5"/>
      <c r="D980" s="5"/>
      <c r="E980" s="5"/>
      <c r="F980" s="5"/>
    </row>
    <row r="981" spans="3:6" ht="13.2" x14ac:dyDescent="0.25">
      <c r="C981" s="5"/>
      <c r="D981" s="5"/>
      <c r="E981" s="5"/>
      <c r="F981" s="5"/>
    </row>
    <row r="982" spans="3:6" ht="13.2" x14ac:dyDescent="0.25">
      <c r="C982" s="5"/>
      <c r="D982" s="5"/>
      <c r="E982" s="5"/>
      <c r="F982" s="5"/>
    </row>
    <row r="983" spans="3:6" ht="13.2" x14ac:dyDescent="0.25">
      <c r="C983" s="5"/>
      <c r="D983" s="5"/>
      <c r="E983" s="5"/>
      <c r="F983" s="5"/>
    </row>
    <row r="984" spans="3:6" ht="13.2" x14ac:dyDescent="0.25">
      <c r="C984" s="5"/>
      <c r="D984" s="5"/>
      <c r="E984" s="5"/>
      <c r="F984" s="5"/>
    </row>
    <row r="985" spans="3:6" ht="13.2" x14ac:dyDescent="0.25">
      <c r="C985" s="5"/>
      <c r="D985" s="5"/>
      <c r="E985" s="5"/>
      <c r="F985" s="5"/>
    </row>
    <row r="986" spans="3:6" ht="13.2" x14ac:dyDescent="0.25">
      <c r="C986" s="5"/>
      <c r="D986" s="5"/>
      <c r="E986" s="5"/>
      <c r="F986" s="5"/>
    </row>
    <row r="987" spans="3:6" ht="13.2" x14ac:dyDescent="0.25">
      <c r="C987" s="5"/>
      <c r="D987" s="5"/>
      <c r="E987" s="5"/>
      <c r="F987" s="5"/>
    </row>
    <row r="988" spans="3:6" ht="13.2" x14ac:dyDescent="0.25">
      <c r="C988" s="5"/>
      <c r="D988" s="5"/>
      <c r="E988" s="5"/>
      <c r="F988" s="5"/>
    </row>
    <row r="989" spans="3:6" ht="13.2" x14ac:dyDescent="0.25">
      <c r="C989" s="5"/>
      <c r="D989" s="5"/>
      <c r="E989" s="5"/>
      <c r="F989" s="5"/>
    </row>
    <row r="990" spans="3:6" ht="13.2" x14ac:dyDescent="0.25">
      <c r="C990" s="5"/>
      <c r="D990" s="5"/>
      <c r="E990" s="5"/>
      <c r="F990" s="5"/>
    </row>
    <row r="991" spans="3:6" ht="13.2" x14ac:dyDescent="0.25">
      <c r="C991" s="5"/>
      <c r="D991" s="5"/>
      <c r="E991" s="5"/>
      <c r="F991" s="5"/>
    </row>
    <row r="992" spans="3:6" ht="13.2" x14ac:dyDescent="0.25">
      <c r="C992" s="5"/>
      <c r="D992" s="5"/>
      <c r="E992" s="5"/>
      <c r="F992" s="5"/>
    </row>
    <row r="993" spans="3:6" ht="13.2" x14ac:dyDescent="0.25">
      <c r="C993" s="5"/>
      <c r="D993" s="5"/>
      <c r="E993" s="5"/>
      <c r="F993" s="5"/>
    </row>
    <row r="994" spans="3:6" ht="13.2" x14ac:dyDescent="0.25">
      <c r="C994" s="5"/>
      <c r="D994" s="5"/>
      <c r="E994" s="5"/>
      <c r="F994" s="5"/>
    </row>
    <row r="995" spans="3:6" ht="13.2" x14ac:dyDescent="0.25">
      <c r="C995" s="5"/>
      <c r="D995" s="5"/>
      <c r="E995" s="5"/>
      <c r="F995" s="5"/>
    </row>
    <row r="996" spans="3:6" ht="13.2" x14ac:dyDescent="0.25">
      <c r="C996" s="5"/>
      <c r="D996" s="5"/>
      <c r="E996" s="5"/>
      <c r="F996" s="5"/>
    </row>
    <row r="997" spans="3:6" ht="13.2" x14ac:dyDescent="0.25">
      <c r="C997" s="5"/>
      <c r="D997" s="5"/>
      <c r="E997" s="5"/>
      <c r="F997" s="5"/>
    </row>
    <row r="998" spans="3:6" ht="13.2" x14ac:dyDescent="0.25">
      <c r="C998" s="5"/>
      <c r="D998" s="5"/>
      <c r="E998" s="5"/>
      <c r="F998" s="5"/>
    </row>
    <row r="999" spans="3:6" ht="13.2" x14ac:dyDescent="0.25">
      <c r="C999" s="5"/>
      <c r="D999" s="5"/>
      <c r="E999" s="5"/>
      <c r="F999" s="5"/>
    </row>
    <row r="1000" spans="3:6" ht="13.2" x14ac:dyDescent="0.25">
      <c r="C1000" s="5"/>
      <c r="D1000" s="5"/>
      <c r="E1000" s="5"/>
      <c r="F1000" s="5"/>
    </row>
    <row r="1001" spans="3:6" ht="13.2" x14ac:dyDescent="0.25">
      <c r="C1001" s="5"/>
      <c r="D1001" s="5"/>
      <c r="E1001" s="5"/>
      <c r="F1001" s="5"/>
    </row>
    <row r="1002" spans="3:6" ht="13.2" x14ac:dyDescent="0.25">
      <c r="C1002" s="5"/>
      <c r="D1002" s="5"/>
      <c r="E1002" s="5"/>
      <c r="F1002" s="5"/>
    </row>
    <row r="1003" spans="3:6" ht="13.2" x14ac:dyDescent="0.25">
      <c r="C1003" s="5"/>
      <c r="D1003" s="5"/>
      <c r="E1003" s="5"/>
      <c r="F1003" s="5"/>
    </row>
    <row r="1004" spans="3:6" ht="13.2" x14ac:dyDescent="0.25">
      <c r="C1004" s="5"/>
      <c r="D1004" s="5"/>
      <c r="E1004" s="5"/>
      <c r="F1004" s="5"/>
    </row>
  </sheetData>
  <mergeCells count="8">
    <mergeCell ref="I65:K65"/>
    <mergeCell ref="A1:U3"/>
    <mergeCell ref="A4:U4"/>
    <mergeCell ref="C7:F7"/>
    <mergeCell ref="A7:A8"/>
    <mergeCell ref="B7:B8"/>
    <mergeCell ref="G7:G8"/>
    <mergeCell ref="I57:K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1435"/>
  <sheetViews>
    <sheetView zoomScale="85" zoomScaleNormal="85" workbookViewId="0">
      <selection activeCell="M512" sqref="M512"/>
    </sheetView>
  </sheetViews>
  <sheetFormatPr defaultColWidth="12.6640625" defaultRowHeight="15.75" customHeight="1" x14ac:dyDescent="0.25"/>
  <cols>
    <col min="1" max="8" width="12.6640625" style="1"/>
    <col min="9" max="11" width="18.77734375" style="1" customWidth="1"/>
    <col min="12" max="16384" width="12.6640625" style="1"/>
  </cols>
  <sheetData>
    <row r="1" spans="1:29" ht="15.75" customHeight="1" x14ac:dyDescent="0.25">
      <c r="A1" s="69" t="s">
        <v>430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9" ht="15.75" customHeight="1" x14ac:dyDescent="0.25">
      <c r="A2" s="70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1"/>
    </row>
    <row r="3" spans="1:29" ht="15.75" customHeight="1" x14ac:dyDescent="0.25">
      <c r="A3" s="7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1"/>
    </row>
    <row r="4" spans="1:29" ht="15.75" customHeight="1" x14ac:dyDescent="0.25">
      <c r="A4" s="72" t="s">
        <v>431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</row>
    <row r="7" spans="1:29" ht="22.2" customHeight="1" x14ac:dyDescent="0.25">
      <c r="A7" s="26" t="s">
        <v>39</v>
      </c>
      <c r="B7" s="29" t="s">
        <v>40</v>
      </c>
      <c r="C7" s="29" t="s">
        <v>2</v>
      </c>
      <c r="D7" s="29"/>
      <c r="E7" s="29"/>
      <c r="F7" s="29"/>
      <c r="G7" s="30" t="s">
        <v>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9" ht="13.2" x14ac:dyDescent="0.25">
      <c r="A8" s="31"/>
      <c r="B8" s="82"/>
      <c r="C8" s="83" t="s">
        <v>4</v>
      </c>
      <c r="D8" s="83" t="s">
        <v>5</v>
      </c>
      <c r="E8" s="83" t="s">
        <v>6</v>
      </c>
      <c r="F8" s="9" t="s">
        <v>7</v>
      </c>
      <c r="G8" s="32"/>
      <c r="H8" s="3"/>
      <c r="I8" s="3"/>
      <c r="J8" s="3"/>
      <c r="K8" s="75"/>
      <c r="L8" s="3"/>
      <c r="M8" s="3"/>
      <c r="N8" s="3"/>
      <c r="O8" s="3"/>
      <c r="P8" s="4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9" ht="13.2" x14ac:dyDescent="0.25">
      <c r="A9" s="120">
        <v>1985</v>
      </c>
      <c r="B9" s="121"/>
      <c r="C9" s="122"/>
      <c r="D9" s="122"/>
      <c r="E9" s="122"/>
      <c r="F9" s="122"/>
      <c r="G9" s="123"/>
      <c r="H9" s="76"/>
      <c r="I9" s="76"/>
      <c r="J9" s="76"/>
      <c r="K9" s="77"/>
      <c r="L9" s="78"/>
      <c r="M9" s="79"/>
      <c r="N9" s="79"/>
      <c r="O9" s="79"/>
      <c r="P9" s="79"/>
      <c r="Q9" s="77"/>
      <c r="R9" s="76"/>
      <c r="S9" s="76"/>
      <c r="T9" s="76"/>
      <c r="U9" s="76"/>
      <c r="V9" s="76"/>
      <c r="W9" s="76"/>
      <c r="X9" s="76"/>
      <c r="Y9" s="76"/>
      <c r="Z9" s="76"/>
      <c r="AA9" s="80"/>
      <c r="AB9" s="80"/>
      <c r="AC9" s="80"/>
    </row>
    <row r="10" spans="1:29" ht="13.2" x14ac:dyDescent="0.25">
      <c r="A10" s="124" t="s">
        <v>41</v>
      </c>
      <c r="B10" s="84">
        <v>0</v>
      </c>
      <c r="C10" s="85">
        <v>0</v>
      </c>
      <c r="D10" s="86">
        <f ca="1">IFERROR(__xludf.DUMMYFUNCTION("$C4*IMPORTRANGE(""https://docs.google.com/spreadsheets/d/1xsp01RMmkav9iTy39Zaj_7tE9677EGlOJ14KU9TZn7I/"",""1985-2003!H24"")"),0)</f>
        <v>0</v>
      </c>
      <c r="E10" s="86">
        <f ca="1">IFERROR(__xludf.DUMMYFUNCTION("$C4*IMPORTRANGE(""https://docs.google.com/spreadsheets/d/1xsp01RMmkav9iTy39Zaj_7tE9677EGlOJ14KU9TZn7I/"",""1985-2003!T24"")"),0)</f>
        <v>0</v>
      </c>
      <c r="F10" s="86">
        <f ca="1">IFERROR(__xludf.DUMMYFUNCTION("$C4*IMPORTRANGE(""https://docs.google.com/spreadsheets/d/1xsp01RMmkav9iTy39Zaj_7tE9677EGlOJ14KU9TZn7I/"",""1985-2003!AC24"")"),0)</f>
        <v>0</v>
      </c>
      <c r="G10" s="124" t="s">
        <v>8</v>
      </c>
      <c r="H10" s="76"/>
      <c r="I10" s="76"/>
      <c r="J10" s="76"/>
      <c r="K10" s="77"/>
      <c r="L10" s="78"/>
      <c r="M10" s="79"/>
      <c r="N10" s="79"/>
      <c r="O10" s="79"/>
      <c r="P10" s="79"/>
      <c r="Q10" s="77"/>
      <c r="R10" s="76"/>
      <c r="S10" s="76"/>
      <c r="T10" s="76"/>
      <c r="U10" s="76"/>
      <c r="V10" s="76"/>
      <c r="W10" s="76"/>
      <c r="X10" s="76"/>
      <c r="Y10" s="76"/>
      <c r="Z10" s="76"/>
      <c r="AA10" s="80"/>
      <c r="AB10" s="80"/>
      <c r="AC10" s="80"/>
    </row>
    <row r="11" spans="1:29" ht="13.2" x14ac:dyDescent="0.25">
      <c r="A11" s="125" t="s">
        <v>42</v>
      </c>
      <c r="B11" s="89">
        <v>0</v>
      </c>
      <c r="C11" s="90">
        <v>0</v>
      </c>
      <c r="D11" s="91">
        <f ca="1">IFERROR(__xludf.DUMMYFUNCTION("$C5*IMPORTRANGE(""https://docs.google.com/spreadsheets/d/1xsp01RMmkav9iTy39Zaj_7tE9677EGlOJ14KU9TZn7I/"",""1985-2003!H45"")"),0)</f>
        <v>0</v>
      </c>
      <c r="E11" s="91">
        <f ca="1">IFERROR(__xludf.DUMMYFUNCTION("$C5*IMPORTRANGE(""https://docs.google.com/spreadsheets/d/1xsp01RMmkav9iTy39Zaj_7tE9677EGlOJ14KU9TZn7I/"",""1985-2003!T45"")"),0)</f>
        <v>0</v>
      </c>
      <c r="F11" s="91">
        <f ca="1">IFERROR(__xludf.DUMMYFUNCTION("$C5*IMPORTRANGE(""https://docs.google.com/spreadsheets/d/1xsp01RMmkav9iTy39Zaj_7tE9677EGlOJ14KU9TZn7I/"",""1985-2003!AC45"")"),0)</f>
        <v>0</v>
      </c>
      <c r="G11" s="125" t="s">
        <v>8</v>
      </c>
      <c r="H11" s="76"/>
      <c r="I11" s="76"/>
      <c r="J11" s="76"/>
      <c r="K11" s="77"/>
      <c r="L11" s="78"/>
      <c r="M11" s="79"/>
      <c r="N11" s="79"/>
      <c r="O11" s="79"/>
      <c r="P11" s="79"/>
      <c r="Q11" s="77"/>
      <c r="R11" s="76"/>
      <c r="S11" s="76"/>
      <c r="T11" s="76"/>
      <c r="U11" s="76"/>
      <c r="V11" s="76"/>
      <c r="W11" s="76"/>
      <c r="X11" s="76"/>
      <c r="Y11" s="76"/>
      <c r="Z11" s="76"/>
      <c r="AA11" s="80"/>
      <c r="AB11" s="80"/>
      <c r="AC11" s="80"/>
    </row>
    <row r="12" spans="1:29" ht="13.2" x14ac:dyDescent="0.25">
      <c r="A12" s="126" t="s">
        <v>43</v>
      </c>
      <c r="B12" s="87">
        <v>0</v>
      </c>
      <c r="C12" s="88">
        <v>0</v>
      </c>
      <c r="D12" s="17">
        <f ca="1">IFERROR(__xludf.DUMMYFUNCTION("$C6*IMPORTRANGE(""https://docs.google.com/spreadsheets/d/1xsp01RMmkav9iTy39Zaj_7tE9677EGlOJ14KU9TZn7I/"",""1985-2003!H67"")"),0)</f>
        <v>0</v>
      </c>
      <c r="E12" s="17">
        <f ca="1">IFERROR(__xludf.DUMMYFUNCTION("$C6*IMPORTRANGE(""https://docs.google.com/spreadsheets/d/1xsp01RMmkav9iTy39Zaj_7tE9677EGlOJ14KU9TZn7I/"",""1985-2003!T67"")"),0)</f>
        <v>0</v>
      </c>
      <c r="F12" s="17">
        <f ca="1">IFERROR(__xludf.DUMMYFUNCTION("$C6*IMPORTRANGE(""https://docs.google.com/spreadsheets/d/1xsp01RMmkav9iTy39Zaj_7tE9677EGlOJ14KU9TZn7I/"",""1985-2003!AC67"")"),0)</f>
        <v>0</v>
      </c>
      <c r="G12" s="126" t="s">
        <v>8</v>
      </c>
      <c r="H12" s="76"/>
      <c r="I12" s="76"/>
      <c r="J12" s="76"/>
      <c r="K12" s="77"/>
      <c r="L12" s="78"/>
      <c r="M12" s="79"/>
      <c r="N12" s="79"/>
      <c r="O12" s="79"/>
      <c r="P12" s="79"/>
      <c r="Q12" s="77"/>
      <c r="R12" s="76"/>
      <c r="S12" s="76"/>
      <c r="T12" s="76"/>
      <c r="U12" s="76"/>
      <c r="V12" s="76"/>
      <c r="W12" s="76"/>
      <c r="X12" s="76"/>
      <c r="Y12" s="76"/>
      <c r="Z12" s="76"/>
      <c r="AA12" s="80"/>
      <c r="AB12" s="80"/>
      <c r="AC12" s="80"/>
    </row>
    <row r="13" spans="1:29" ht="13.2" x14ac:dyDescent="0.25">
      <c r="A13" s="125" t="s">
        <v>44</v>
      </c>
      <c r="B13" s="89">
        <v>1</v>
      </c>
      <c r="C13" s="90">
        <v>0</v>
      </c>
      <c r="D13" s="91">
        <f ca="1">IFERROR(__xludf.DUMMYFUNCTION("$C7*IMPORTRANGE(""https://docs.google.com/spreadsheets/d/1xsp01RMmkav9iTy39Zaj_7tE9677EGlOJ14KU9TZn7I/"",""1985-2003!H90"")"),0)</f>
        <v>0</v>
      </c>
      <c r="E13" s="91">
        <f ca="1">IFERROR(__xludf.DUMMYFUNCTION("$C7*IMPORTRANGE(""https://docs.google.com/spreadsheets/d/1xsp01RMmkav9iTy39Zaj_7tE9677EGlOJ14KU9TZn7I/"",""1985-2003!T90"")"),0)</f>
        <v>0</v>
      </c>
      <c r="F13" s="91">
        <f ca="1">IFERROR(__xludf.DUMMYFUNCTION("$C7*IMPORTRANGE(""https://docs.google.com/spreadsheets/d/1xsp01RMmkav9iTy39Zaj_7tE9677EGlOJ14KU9TZn7I/"",""1985-2003!AC90"")"),0)</f>
        <v>0</v>
      </c>
      <c r="G13" s="125" t="s">
        <v>8</v>
      </c>
      <c r="H13" s="76"/>
      <c r="I13" s="76"/>
      <c r="J13" s="76"/>
      <c r="K13" s="77"/>
      <c r="L13" s="78"/>
      <c r="M13" s="79"/>
      <c r="N13" s="79"/>
      <c r="O13" s="79"/>
      <c r="P13" s="79"/>
      <c r="Q13" s="77"/>
      <c r="R13" s="76"/>
      <c r="S13" s="76"/>
      <c r="T13" s="76"/>
      <c r="U13" s="76"/>
      <c r="V13" s="76"/>
      <c r="W13" s="76"/>
      <c r="X13" s="76"/>
      <c r="Y13" s="76"/>
      <c r="Z13" s="76"/>
      <c r="AA13" s="80"/>
      <c r="AB13" s="80"/>
      <c r="AC13" s="80"/>
    </row>
    <row r="14" spans="1:29" ht="13.2" x14ac:dyDescent="0.25">
      <c r="A14" s="126" t="s">
        <v>45</v>
      </c>
      <c r="B14" s="87">
        <v>1</v>
      </c>
      <c r="C14" s="88">
        <v>0</v>
      </c>
      <c r="D14" s="17">
        <f ca="1">IFERROR(__xludf.DUMMYFUNCTION("$C8*IMPORTRANGE(""https://docs.google.com/spreadsheets/d/1xsp01RMmkav9iTy39Zaj_7tE9677EGlOJ14KU9TZn7I/"",""1985-2003!H113"")"),0)</f>
        <v>0</v>
      </c>
      <c r="E14" s="17">
        <f ca="1">IFERROR(__xludf.DUMMYFUNCTION("$C8*IMPORTRANGE(""https://docs.google.com/spreadsheets/d/1xsp01RMmkav9iTy39Zaj_7tE9677EGlOJ14KU9TZn7I/"",""1985-2003!T113"")"),0)</f>
        <v>0</v>
      </c>
      <c r="F14" s="17">
        <f ca="1">IFERROR(__xludf.DUMMYFUNCTION("$C8*IMPORTRANGE(""https://docs.google.com/spreadsheets/d/1xsp01RMmkav9iTy39Zaj_7tE9677EGlOJ14KU9TZn7I/"",""1985-2003!AC113"")"),0)</f>
        <v>0</v>
      </c>
      <c r="G14" s="126" t="s">
        <v>8</v>
      </c>
      <c r="H14" s="76"/>
      <c r="I14" s="76"/>
      <c r="J14" s="76"/>
      <c r="K14" s="77"/>
      <c r="L14" s="78"/>
      <c r="M14" s="79"/>
      <c r="N14" s="79"/>
      <c r="O14" s="79"/>
      <c r="P14" s="79"/>
      <c r="Q14" s="77"/>
      <c r="R14" s="76"/>
      <c r="S14" s="76"/>
      <c r="T14" s="76"/>
      <c r="U14" s="76"/>
      <c r="V14" s="76"/>
      <c r="W14" s="76"/>
      <c r="X14" s="76"/>
      <c r="Y14" s="76"/>
      <c r="Z14" s="76"/>
      <c r="AA14" s="80"/>
      <c r="AB14" s="80"/>
      <c r="AC14" s="80"/>
    </row>
    <row r="15" spans="1:29" ht="13.2" x14ac:dyDescent="0.25">
      <c r="A15" s="125" t="s">
        <v>46</v>
      </c>
      <c r="B15" s="89">
        <v>0</v>
      </c>
      <c r="C15" s="90">
        <v>0</v>
      </c>
      <c r="D15" s="91">
        <f ca="1">IFERROR(__xludf.DUMMYFUNCTION("$C9*IMPORTRANGE(""https://docs.google.com/spreadsheets/d/1xsp01RMmkav9iTy39Zaj_7tE9677EGlOJ14KU9TZn7I/"",""1985-2003!H134"")"),0)</f>
        <v>0</v>
      </c>
      <c r="E15" s="91">
        <f ca="1">IFERROR(__xludf.DUMMYFUNCTION("$C9*IMPORTRANGE(""https://docs.google.com/spreadsheets/d/1xsp01RMmkav9iTy39Zaj_7tE9677EGlOJ14KU9TZn7I/"",""1985-2003!T134"")"),0)</f>
        <v>0</v>
      </c>
      <c r="F15" s="91">
        <f ca="1">IFERROR(__xludf.DUMMYFUNCTION("$C9*IMPORTRANGE(""https://docs.google.com/spreadsheets/d/1xsp01RMmkav9iTy39Zaj_7tE9677EGlOJ14KU9TZn7I/"",""1985-2003!AC134"")"),0)</f>
        <v>0</v>
      </c>
      <c r="G15" s="125" t="s">
        <v>8</v>
      </c>
      <c r="H15" s="76"/>
      <c r="I15" s="76"/>
      <c r="J15" s="76"/>
      <c r="K15" s="77"/>
      <c r="L15" s="78"/>
      <c r="M15" s="79"/>
      <c r="N15" s="79"/>
      <c r="O15" s="79"/>
      <c r="P15" s="79"/>
      <c r="Q15" s="77"/>
      <c r="R15" s="76"/>
      <c r="S15" s="76"/>
      <c r="T15" s="76"/>
      <c r="U15" s="76"/>
      <c r="V15" s="76"/>
      <c r="W15" s="76"/>
      <c r="X15" s="76"/>
      <c r="Y15" s="76"/>
      <c r="Z15" s="76"/>
      <c r="AA15" s="80"/>
      <c r="AB15" s="80"/>
      <c r="AC15" s="80"/>
    </row>
    <row r="16" spans="1:29" ht="13.2" x14ac:dyDescent="0.25">
      <c r="A16" s="126" t="s">
        <v>47</v>
      </c>
      <c r="B16" s="87">
        <v>1</v>
      </c>
      <c r="C16" s="88">
        <f>3.38/1000</f>
        <v>3.3799999999999998E-3</v>
      </c>
      <c r="D16" s="17">
        <f ca="1">IFERROR(__xludf.DUMMYFUNCTION("$C10*IMPORTRANGE(""https://docs.google.com/spreadsheets/d/1xsp01RMmkav9iTy39Zaj_7tE9677EGlOJ14KU9TZn7I/"",""1985-2003!H158"")"),0.0044109)</f>
        <v>4.4108999999999997E-3</v>
      </c>
      <c r="E16" s="17">
        <f ca="1">IFERROR(__xludf.DUMMYFUNCTION("$C10*IMPORTRANGE(""https://docs.google.com/spreadsheets/d/1xsp01RMmkav9iTy39Zaj_7tE9677EGlOJ14KU9TZn7I/"",""1985-2003!T158"")"),0.002432586)</f>
        <v>2.432586E-3</v>
      </c>
      <c r="F16" s="17">
        <f ca="1">IFERROR(__xludf.DUMMYFUNCTION("$C10*IMPORTRANGE(""https://docs.google.com/spreadsheets/d/1xsp01RMmkav9iTy39Zaj_7tE9677EGlOJ14KU9TZn7I/"",""1985-2003!AC158"")"),0.80951)</f>
        <v>0.80950999999999995</v>
      </c>
      <c r="G16" s="126" t="s">
        <v>8</v>
      </c>
      <c r="H16" s="76"/>
      <c r="I16" s="76"/>
      <c r="J16" s="76"/>
      <c r="K16" s="77"/>
      <c r="L16" s="78"/>
      <c r="M16" s="79"/>
      <c r="N16" s="79"/>
      <c r="O16" s="79"/>
      <c r="P16" s="79"/>
      <c r="Q16" s="77"/>
      <c r="R16" s="76"/>
      <c r="S16" s="76"/>
      <c r="T16" s="76"/>
      <c r="U16" s="76"/>
      <c r="V16" s="76"/>
      <c r="W16" s="76"/>
      <c r="X16" s="76"/>
      <c r="Y16" s="76"/>
      <c r="Z16" s="76"/>
      <c r="AA16" s="80"/>
      <c r="AB16" s="80"/>
      <c r="AC16" s="80"/>
    </row>
    <row r="17" spans="1:29" ht="13.2" x14ac:dyDescent="0.25">
      <c r="A17" s="125" t="s">
        <v>48</v>
      </c>
      <c r="B17" s="89">
        <v>1</v>
      </c>
      <c r="C17" s="90">
        <f>125/1000</f>
        <v>0.125</v>
      </c>
      <c r="D17" s="91">
        <f ca="1">IFERROR(__xludf.DUMMYFUNCTION("$C11*IMPORTRANGE(""https://docs.google.com/spreadsheets/d/1xsp01RMmkav9iTy39Zaj_7tE9677EGlOJ14KU9TZn7I/"",""1985-2003!H181"")"),0.15815)</f>
        <v>0.15815000000000001</v>
      </c>
      <c r="E17" s="91">
        <f ca="1">IFERROR(__xludf.DUMMYFUNCTION("$C11*IMPORTRANGE(""https://docs.google.com/spreadsheets/d/1xsp01RMmkav9iTy39Zaj_7tE9677EGlOJ14KU9TZn7I/"",""1985-2003!T181"")"),0.090025)</f>
        <v>9.0024999999999994E-2</v>
      </c>
      <c r="F17" s="91">
        <f ca="1">IFERROR(__xludf.DUMMYFUNCTION("$C11*IMPORTRANGE(""https://docs.google.com/spreadsheets/d/1xsp01RMmkav9iTy39Zaj_7tE9677EGlOJ14KU9TZn7I/"",""1985-2003!AC181"")"),29.670625)</f>
        <v>29.670625000000001</v>
      </c>
      <c r="G17" s="125" t="s">
        <v>8</v>
      </c>
      <c r="H17" s="76"/>
      <c r="I17" s="76"/>
      <c r="J17" s="76"/>
      <c r="K17" s="77"/>
      <c r="L17" s="78"/>
      <c r="M17" s="79"/>
      <c r="N17" s="79"/>
      <c r="O17" s="79"/>
      <c r="P17" s="79"/>
      <c r="Q17" s="77"/>
      <c r="R17" s="76"/>
      <c r="S17" s="76"/>
      <c r="T17" s="76"/>
      <c r="U17" s="76"/>
      <c r="V17" s="76"/>
      <c r="W17" s="76"/>
      <c r="X17" s="76"/>
      <c r="Y17" s="76"/>
      <c r="Z17" s="76"/>
      <c r="AA17" s="80"/>
      <c r="AB17" s="80"/>
      <c r="AC17" s="80"/>
    </row>
    <row r="18" spans="1:29" ht="13.2" x14ac:dyDescent="0.25">
      <c r="A18" s="126" t="s">
        <v>49</v>
      </c>
      <c r="B18" s="87">
        <v>1</v>
      </c>
      <c r="C18" s="88">
        <f>20.4/1000</f>
        <v>2.0399999999999998E-2</v>
      </c>
      <c r="D18" s="17">
        <f ca="1">IFERROR(__xludf.DUMMYFUNCTION("$C12*IMPORTRANGE(""https://docs.google.com/spreadsheets/d/1xsp01RMmkav9iTy39Zaj_7tE9677EGlOJ14KU9TZn7I/"",""1985-2003!H203"")"),0.02652)</f>
        <v>2.6519999999999998E-2</v>
      </c>
      <c r="E18" s="17">
        <f ca="1">IFERROR(__xludf.DUMMYFUNCTION("$C12*IMPORTRANGE(""https://docs.google.com/spreadsheets/d/1xsp01RMmkav9iTy39Zaj_7tE9677EGlOJ14KU9TZn7I/"",""1985-2003!T203"")"),0.0149185199999999)</f>
        <v>1.49185199999999E-2</v>
      </c>
      <c r="F18" s="17">
        <f ca="1">IFERROR(__xludf.DUMMYFUNCTION("$C12*IMPORTRANGE(""https://docs.google.com/spreadsheets/d/1xsp01RMmkav9iTy39Zaj_7tE9677EGlOJ14KU9TZn7I/"",""1985-2003!AC203"")"),4.91078999999999)</f>
        <v>4.9107899999999898</v>
      </c>
      <c r="G18" s="126" t="s">
        <v>8</v>
      </c>
      <c r="H18" s="76"/>
      <c r="I18" s="76"/>
      <c r="J18" s="76"/>
      <c r="K18" s="77"/>
      <c r="L18" s="78"/>
      <c r="M18" s="79"/>
      <c r="N18" s="79"/>
      <c r="O18" s="79"/>
      <c r="P18" s="79"/>
      <c r="Q18" s="77"/>
      <c r="R18" s="76"/>
      <c r="S18" s="76"/>
      <c r="T18" s="76"/>
      <c r="U18" s="76"/>
      <c r="V18" s="76"/>
      <c r="W18" s="76"/>
      <c r="X18" s="76"/>
      <c r="Y18" s="76"/>
      <c r="Z18" s="76"/>
      <c r="AA18" s="80"/>
      <c r="AB18" s="80"/>
      <c r="AC18" s="80"/>
    </row>
    <row r="19" spans="1:29" ht="13.2" x14ac:dyDescent="0.25">
      <c r="A19" s="125" t="s">
        <v>50</v>
      </c>
      <c r="B19" s="89">
        <v>1</v>
      </c>
      <c r="C19" s="90">
        <f>26.5/1000</f>
        <v>2.6499999999999999E-2</v>
      </c>
      <c r="D19" s="91">
        <f ca="1">IFERROR(__xludf.DUMMYFUNCTION("$C13*IMPORTRANGE(""https://docs.google.com/spreadsheets/d/1xsp01RMmkav9iTy39Zaj_7tE9677EGlOJ14KU9TZn7I/"",""1985-2003!H227"")"),0.0319669499999999)</f>
        <v>3.1966949999999897E-2</v>
      </c>
      <c r="E19" s="91">
        <f ca="1">IFERROR(__xludf.DUMMYFUNCTION("$C13*IMPORTRANGE(""https://docs.google.com/spreadsheets/d/1xsp01RMmkav9iTy39Zaj_7tE9677EGlOJ14KU9TZn7I/"",""1985-2003!T227"")"),0.0186824999999999)</f>
        <v>1.8682499999999901E-2</v>
      </c>
      <c r="F19" s="91">
        <f ca="1">IFERROR(__xludf.DUMMYFUNCTION("$C13*IMPORTRANGE(""https://docs.google.com/spreadsheets/d/1xsp01RMmkav9iTy39Zaj_7tE9677EGlOJ14KU9TZn7I/"",""1985-2003!AC227"")"),5.69948749999999)</f>
        <v>5.6994874999999903</v>
      </c>
      <c r="G19" s="125" t="s">
        <v>8</v>
      </c>
      <c r="H19" s="76"/>
      <c r="I19" s="76"/>
      <c r="J19" s="76"/>
      <c r="K19" s="77"/>
      <c r="L19" s="78"/>
      <c r="M19" s="79"/>
      <c r="N19" s="79"/>
      <c r="O19" s="79"/>
      <c r="P19" s="79"/>
      <c r="Q19" s="77"/>
      <c r="R19" s="76"/>
      <c r="S19" s="76"/>
      <c r="T19" s="76"/>
      <c r="U19" s="76"/>
      <c r="V19" s="76"/>
      <c r="W19" s="76"/>
      <c r="X19" s="76"/>
      <c r="Y19" s="76"/>
      <c r="Z19" s="76"/>
      <c r="AA19" s="80"/>
      <c r="AB19" s="80"/>
      <c r="AC19" s="80"/>
    </row>
    <row r="20" spans="1:29" ht="13.2" x14ac:dyDescent="0.25">
      <c r="A20" s="126" t="s">
        <v>51</v>
      </c>
      <c r="B20" s="87">
        <v>1</v>
      </c>
      <c r="C20" s="88">
        <f>12/1000</f>
        <v>1.2E-2</v>
      </c>
      <c r="D20" s="17">
        <f ca="1">IFERROR(__xludf.DUMMYFUNCTION("$C14*IMPORTRANGE(""https://docs.google.com/spreadsheets/d/1xsp01RMmkav9iTy39Zaj_7tE9677EGlOJ14KU9TZn7I/"",""1985-2003!H249"")"),0.0142896)</f>
        <v>1.42896E-2</v>
      </c>
      <c r="E20" s="17">
        <f ca="1">IFERROR(__xludf.DUMMYFUNCTION("$C14*IMPORTRANGE(""https://docs.google.com/spreadsheets/d/1xsp01RMmkav9iTy39Zaj_7tE9677EGlOJ14KU9TZn7I/"",""1985-2003!T249"")"),0.0083616)</f>
        <v>8.3616000000000003E-3</v>
      </c>
      <c r="F20" s="17">
        <f ca="1">IFERROR(__xludf.DUMMYFUNCTION("$C14*IMPORTRANGE(""https://docs.google.com/spreadsheets/d/1xsp01RMmkav9iTy39Zaj_7tE9677EGlOJ14KU9TZn7I/"",""1985-2003!AC249"")"),2.4414)</f>
        <v>2.4413999999999998</v>
      </c>
      <c r="G20" s="126" t="s">
        <v>8</v>
      </c>
      <c r="H20" s="76"/>
      <c r="I20" s="76"/>
      <c r="J20" s="76"/>
      <c r="K20" s="77"/>
      <c r="L20" s="78"/>
      <c r="M20" s="79"/>
      <c r="N20" s="79"/>
      <c r="O20" s="79"/>
      <c r="P20" s="79"/>
      <c r="Q20" s="77"/>
      <c r="R20" s="76"/>
      <c r="S20" s="76"/>
      <c r="T20" s="76"/>
      <c r="U20" s="76"/>
      <c r="V20" s="76"/>
      <c r="W20" s="76"/>
      <c r="X20" s="76"/>
      <c r="Y20" s="76"/>
      <c r="Z20" s="76"/>
      <c r="AA20" s="80"/>
      <c r="AB20" s="80"/>
      <c r="AC20" s="80"/>
    </row>
    <row r="21" spans="1:29" ht="13.2" x14ac:dyDescent="0.25">
      <c r="A21" s="127" t="s">
        <v>52</v>
      </c>
      <c r="B21" s="92">
        <v>3</v>
      </c>
      <c r="C21" s="93">
        <v>0</v>
      </c>
      <c r="D21" s="94">
        <f ca="1">IFERROR(__xludf.DUMMYFUNCTION("$C15*IMPORTRANGE(""https://docs.google.com/spreadsheets/d/1xsp01RMmkav9iTy39Zaj_7tE9677EGlOJ14KU9TZn7I/"",""1985-2003!H271"")"),0)</f>
        <v>0</v>
      </c>
      <c r="E21" s="94">
        <f ca="1">IFERROR(__xludf.DUMMYFUNCTION("$C15*IMPORTRANGE(""https://docs.google.com/spreadsheets/d/1xsp01RMmkav9iTy39Zaj_7tE9677EGlOJ14KU9TZn7I/"",""1985-2003!T271"")"),0)</f>
        <v>0</v>
      </c>
      <c r="F21" s="94">
        <f ca="1">IFERROR(__xludf.DUMMYFUNCTION("$C15*IMPORTRANGE(""https://docs.google.com/spreadsheets/d/1xsp01RMmkav9iTy39Zaj_7tE9677EGlOJ14KU9TZn7I/"",""1985-2003!AC271"")"),0)</f>
        <v>0</v>
      </c>
      <c r="G21" s="127" t="s">
        <v>8</v>
      </c>
      <c r="H21" s="76"/>
      <c r="I21" s="76"/>
      <c r="J21" s="76"/>
      <c r="K21" s="77"/>
      <c r="L21" s="78"/>
      <c r="M21" s="79"/>
      <c r="N21" s="79"/>
      <c r="O21" s="79"/>
      <c r="P21" s="79"/>
      <c r="Q21" s="77"/>
      <c r="R21" s="76"/>
      <c r="S21" s="76"/>
      <c r="T21" s="76"/>
      <c r="U21" s="76"/>
      <c r="V21" s="76"/>
      <c r="W21" s="76"/>
      <c r="X21" s="76"/>
      <c r="Y21" s="76"/>
      <c r="Z21" s="76"/>
      <c r="AA21" s="80"/>
      <c r="AB21" s="80"/>
      <c r="AC21" s="80"/>
    </row>
    <row r="22" spans="1:29" ht="13.2" x14ac:dyDescent="0.25">
      <c r="A22" s="120">
        <v>1986</v>
      </c>
      <c r="B22" s="121"/>
      <c r="C22" s="122"/>
      <c r="D22" s="122"/>
      <c r="E22" s="122"/>
      <c r="F22" s="122"/>
      <c r="G22" s="123"/>
      <c r="H22" s="76"/>
      <c r="I22" s="76"/>
      <c r="J22" s="76"/>
      <c r="K22" s="77"/>
      <c r="L22" s="78"/>
      <c r="M22" s="79"/>
      <c r="N22" s="79"/>
      <c r="O22" s="79"/>
      <c r="P22" s="79"/>
      <c r="Q22" s="77"/>
      <c r="R22" s="76"/>
      <c r="S22" s="76"/>
      <c r="T22" s="76"/>
      <c r="U22" s="76"/>
      <c r="V22" s="76"/>
      <c r="W22" s="76"/>
      <c r="X22" s="76"/>
      <c r="Y22" s="76"/>
      <c r="Z22" s="76"/>
      <c r="AA22" s="80"/>
      <c r="AB22" s="80"/>
      <c r="AC22" s="80"/>
    </row>
    <row r="23" spans="1:29" ht="13.2" x14ac:dyDescent="0.25">
      <c r="A23" s="124" t="s">
        <v>53</v>
      </c>
      <c r="B23" s="84">
        <v>1</v>
      </c>
      <c r="C23" s="85">
        <f>151.8/1000</f>
        <v>0.15180000000000002</v>
      </c>
      <c r="D23" s="95">
        <f ca="1">IFERROR(__xludf.DUMMYFUNCTION("$C17*IMPORTRANGE(""https://docs.google.com/spreadsheets/d/1xsp01RMmkav9iTy39Zaj_7tE9677EGlOJ14KU9TZn7I/"",""1985-2003!H295"")"),0.17086608)</f>
        <v>0.17086608</v>
      </c>
      <c r="E23" s="95">
        <f ca="1">IFERROR(__xludf.DUMMYFUNCTION("$C17*IMPORTRANGE(""https://docs.google.com/spreadsheets/d/1xsp01RMmkav9iTy39Zaj_7tE9677EGlOJ14KU9TZn7I/"",""1985-2003!T295"")"),0.1056528)</f>
        <v>0.10565280000000001</v>
      </c>
      <c r="F23" s="95">
        <f ca="1">IFERROR(__xludf.DUMMYFUNCTION("$C17*IMPORTRANGE(""https://docs.google.com/spreadsheets/d/1xsp01RMmkav9iTy39Zaj_7tE9677EGlOJ14KU9TZn7I/"",""1985-2003!AC295"")"),30.67119)</f>
        <v>30.671189999999999</v>
      </c>
      <c r="G23" s="124" t="s">
        <v>8</v>
      </c>
      <c r="H23" s="76"/>
      <c r="I23" s="76"/>
      <c r="J23" s="76"/>
      <c r="K23" s="77"/>
      <c r="L23" s="78"/>
      <c r="M23" s="79"/>
      <c r="N23" s="79"/>
      <c r="O23" s="79"/>
      <c r="P23" s="79"/>
      <c r="Q23" s="77"/>
      <c r="R23" s="76"/>
      <c r="S23" s="76"/>
      <c r="T23" s="76"/>
      <c r="U23" s="76"/>
      <c r="V23" s="76"/>
      <c r="W23" s="76"/>
      <c r="X23" s="76"/>
      <c r="Y23" s="76"/>
      <c r="Z23" s="76"/>
      <c r="AA23" s="80"/>
      <c r="AB23" s="80"/>
      <c r="AC23" s="80"/>
    </row>
    <row r="24" spans="1:29" ht="13.2" x14ac:dyDescent="0.25">
      <c r="A24" s="128" t="s">
        <v>54</v>
      </c>
      <c r="B24" s="97">
        <v>0</v>
      </c>
      <c r="C24" s="98">
        <v>0</v>
      </c>
      <c r="D24" s="99">
        <f ca="1">IFERROR(__xludf.DUMMYFUNCTION("$C18*IMPORTRANGE(""https://docs.google.com/spreadsheets/d/1xsp01RMmkav9iTy39Zaj_7tE9677EGlOJ14KU9TZn7I/"",""1985-2003!H316"")"),0)</f>
        <v>0</v>
      </c>
      <c r="E24" s="99">
        <f ca="1">IFERROR(__xludf.DUMMYFUNCTION("$C18*IMPORTRANGE(""https://docs.google.com/spreadsheets/d/1xsp01RMmkav9iTy39Zaj_7tE9677EGlOJ14KU9TZn7I/"",""1985-2003!T316"")"),0)</f>
        <v>0</v>
      </c>
      <c r="F24" s="99">
        <f ca="1">IFERROR(__xludf.DUMMYFUNCTION("$C18*IMPORTRANGE(""https://docs.google.com/spreadsheets/d/1xsp01RMmkav9iTy39Zaj_7tE9677EGlOJ14KU9TZn7I/"",""1985-2003!AC316"")"),0)</f>
        <v>0</v>
      </c>
      <c r="G24" s="128" t="s">
        <v>8</v>
      </c>
      <c r="H24" s="76"/>
      <c r="I24" s="76"/>
      <c r="J24" s="76"/>
      <c r="K24" s="77"/>
      <c r="L24" s="78"/>
      <c r="M24" s="79"/>
      <c r="N24" s="79"/>
      <c r="O24" s="79"/>
      <c r="P24" s="79"/>
      <c r="Q24" s="77"/>
      <c r="R24" s="76"/>
      <c r="S24" s="76"/>
      <c r="T24" s="76"/>
      <c r="U24" s="76"/>
      <c r="V24" s="76"/>
      <c r="W24" s="76"/>
      <c r="X24" s="76"/>
      <c r="Y24" s="76"/>
      <c r="Z24" s="76"/>
      <c r="AA24" s="80"/>
      <c r="AB24" s="80"/>
      <c r="AC24" s="80"/>
    </row>
    <row r="25" spans="1:29" ht="13.2" x14ac:dyDescent="0.25">
      <c r="A25" s="126" t="s">
        <v>55</v>
      </c>
      <c r="B25" s="87">
        <v>0</v>
      </c>
      <c r="C25" s="88">
        <v>0</v>
      </c>
      <c r="D25" s="96">
        <f ca="1">IFERROR(__xludf.DUMMYFUNCTION("$C19*IMPORTRANGE(""https://docs.google.com/spreadsheets/d/1xsp01RMmkav9iTy39Zaj_7tE9677EGlOJ14KU9TZn7I/"",""1985-2003!H338"")"),0)</f>
        <v>0</v>
      </c>
      <c r="E25" s="96">
        <f ca="1">IFERROR(__xludf.DUMMYFUNCTION("$C19*IMPORTRANGE(""https://docs.google.com/spreadsheets/d/1xsp01RMmkav9iTy39Zaj_7tE9677EGlOJ14KU9TZn7I/"",""1985-2003!T338"")"),0)</f>
        <v>0</v>
      </c>
      <c r="F25" s="96">
        <f ca="1">IFERROR(__xludf.DUMMYFUNCTION("$C19*IMPORTRANGE(""https://docs.google.com/spreadsheets/d/1xsp01RMmkav9iTy39Zaj_7tE9677EGlOJ14KU9TZn7I/"",""1985-2003!AC338"")"),0)</f>
        <v>0</v>
      </c>
      <c r="G25" s="126" t="s">
        <v>8</v>
      </c>
      <c r="H25" s="76"/>
      <c r="I25" s="76"/>
      <c r="J25" s="76"/>
      <c r="K25" s="77"/>
      <c r="L25" s="78"/>
      <c r="M25" s="79"/>
      <c r="N25" s="79"/>
      <c r="O25" s="79"/>
      <c r="P25" s="79"/>
      <c r="Q25" s="77"/>
      <c r="R25" s="76"/>
      <c r="S25" s="76"/>
      <c r="T25" s="76"/>
      <c r="U25" s="76"/>
      <c r="V25" s="76"/>
      <c r="W25" s="76"/>
      <c r="X25" s="76"/>
      <c r="Y25" s="76"/>
      <c r="Z25" s="76"/>
      <c r="AA25" s="80"/>
      <c r="AB25" s="80"/>
      <c r="AC25" s="80"/>
    </row>
    <row r="26" spans="1:29" ht="13.2" x14ac:dyDescent="0.25">
      <c r="A26" s="128" t="s">
        <v>56</v>
      </c>
      <c r="B26" s="97">
        <v>0</v>
      </c>
      <c r="C26" s="98">
        <v>0</v>
      </c>
      <c r="D26" s="99">
        <f ca="1">IFERROR(__xludf.DUMMYFUNCTION("$C20*IMPORTRANGE(""https://docs.google.com/spreadsheets/d/1xsp01RMmkav9iTy39Zaj_7tE9677EGlOJ14KU9TZn7I/"",""1985-2003!H361"")"),0)</f>
        <v>0</v>
      </c>
      <c r="E26" s="99">
        <f ca="1">IFERROR(__xludf.DUMMYFUNCTION("$C20*IMPORTRANGE(""https://docs.google.com/spreadsheets/d/1xsp01RMmkav9iTy39Zaj_7tE9677EGlOJ14KU9TZn7I/"",""1985-2003!T361"")"),0)</f>
        <v>0</v>
      </c>
      <c r="F26" s="99">
        <f ca="1">IFERROR(__xludf.DUMMYFUNCTION("$C20*IMPORTRANGE(""https://docs.google.com/spreadsheets/d/1xsp01RMmkav9iTy39Zaj_7tE9677EGlOJ14KU9TZn7I/"",""1985-2003!AC361"")"),0)</f>
        <v>0</v>
      </c>
      <c r="G26" s="128" t="s">
        <v>8</v>
      </c>
      <c r="H26" s="76"/>
      <c r="I26" s="76"/>
      <c r="J26" s="76"/>
      <c r="K26" s="77"/>
      <c r="L26" s="78"/>
      <c r="M26" s="79"/>
      <c r="N26" s="79"/>
      <c r="O26" s="79"/>
      <c r="P26" s="79"/>
      <c r="Q26" s="77"/>
      <c r="R26" s="76"/>
      <c r="S26" s="76"/>
      <c r="T26" s="76"/>
      <c r="U26" s="76"/>
      <c r="V26" s="76"/>
      <c r="W26" s="76"/>
      <c r="X26" s="76"/>
      <c r="Y26" s="76"/>
      <c r="Z26" s="76"/>
      <c r="AA26" s="80"/>
      <c r="AB26" s="80"/>
      <c r="AC26" s="80"/>
    </row>
    <row r="27" spans="1:29" ht="13.2" x14ac:dyDescent="0.25">
      <c r="A27" s="126" t="s">
        <v>57</v>
      </c>
      <c r="B27" s="87">
        <v>0</v>
      </c>
      <c r="C27" s="88">
        <v>0</v>
      </c>
      <c r="D27" s="96">
        <f ca="1">IFERROR(__xludf.DUMMYFUNCTION("$C21*IMPORTRANGE(""https://docs.google.com/spreadsheets/d/1xsp01RMmkav9iTy39Zaj_7tE9677EGlOJ14KU9TZn7I/"",""1985-2003!H383"")"),0)</f>
        <v>0</v>
      </c>
      <c r="E27" s="96">
        <f ca="1">IFERROR(__xludf.DUMMYFUNCTION("$C21*IMPORTRANGE(""https://docs.google.com/spreadsheets/d/1xsp01RMmkav9iTy39Zaj_7tE9677EGlOJ14KU9TZn7I/"",""1985-2003!T383"")"),0)</f>
        <v>0</v>
      </c>
      <c r="F27" s="96">
        <f ca="1">IFERROR(__xludf.DUMMYFUNCTION("$C21*IMPORTRANGE(""https://docs.google.com/spreadsheets/d/1xsp01RMmkav9iTy39Zaj_7tE9677EGlOJ14KU9TZn7I/"",""1985-2003!AC383"")"),0)</f>
        <v>0</v>
      </c>
      <c r="G27" s="126" t="s">
        <v>8</v>
      </c>
      <c r="H27" s="76"/>
      <c r="I27" s="76"/>
      <c r="J27" s="76"/>
      <c r="K27" s="77"/>
      <c r="L27" s="78"/>
      <c r="M27" s="79"/>
      <c r="N27" s="79"/>
      <c r="O27" s="79"/>
      <c r="P27" s="79"/>
      <c r="Q27" s="77"/>
      <c r="R27" s="76"/>
      <c r="S27" s="76"/>
      <c r="T27" s="76"/>
      <c r="U27" s="76"/>
      <c r="V27" s="76"/>
      <c r="W27" s="76"/>
      <c r="X27" s="76"/>
      <c r="Y27" s="76"/>
      <c r="Z27" s="76"/>
      <c r="AA27" s="80"/>
      <c r="AB27" s="80"/>
      <c r="AC27" s="80"/>
    </row>
    <row r="28" spans="1:29" ht="13.2" x14ac:dyDescent="0.25">
      <c r="A28" s="128" t="s">
        <v>58</v>
      </c>
      <c r="B28" s="97">
        <v>4</v>
      </c>
      <c r="C28" s="98">
        <f>263.1/1000</f>
        <v>0.2631</v>
      </c>
      <c r="D28" s="99">
        <f ca="1">IFERROR(__xludf.DUMMYFUNCTION("$C22*IMPORTRANGE(""https://docs.google.com/spreadsheets/d/1xsp01RMmkav9iTy39Zaj_7tE9677EGlOJ14KU9TZn7I/"",""1985-2003!H405"")"),0.27191385)</f>
        <v>0.27191385000000001</v>
      </c>
      <c r="E28" s="99">
        <f ca="1">IFERROR(__xludf.DUMMYFUNCTION("$C22*IMPORTRANGE(""https://docs.google.com/spreadsheets/d/1xsp01RMmkav9iTy39Zaj_7tE9677EGlOJ14KU9TZn7I/"",""1985-2003!T405"")"),0.17440899)</f>
        <v>0.17440899000000001</v>
      </c>
      <c r="F28" s="99">
        <f ca="1">IFERROR(__xludf.DUMMYFUNCTION("$C22*IMPORTRANGE(""https://docs.google.com/spreadsheets/d/1xsp01RMmkav9iTy39Zaj_7tE9677EGlOJ14KU9TZn7I/"",""1985-2003!AC405"")"),43.91139)</f>
        <v>43.911389999999997</v>
      </c>
      <c r="G28" s="128" t="s">
        <v>8</v>
      </c>
      <c r="H28" s="76"/>
      <c r="I28" s="76"/>
      <c r="J28" s="76"/>
      <c r="K28" s="77"/>
      <c r="L28" s="78"/>
      <c r="M28" s="79"/>
      <c r="N28" s="79"/>
      <c r="O28" s="79"/>
      <c r="P28" s="79"/>
      <c r="Q28" s="77"/>
      <c r="R28" s="76"/>
      <c r="S28" s="76"/>
      <c r="T28" s="76"/>
      <c r="U28" s="76"/>
      <c r="V28" s="76"/>
      <c r="W28" s="76"/>
      <c r="X28" s="76"/>
      <c r="Y28" s="76"/>
      <c r="Z28" s="76"/>
      <c r="AA28" s="80"/>
      <c r="AB28" s="80"/>
      <c r="AC28" s="80"/>
    </row>
    <row r="29" spans="1:29" ht="13.2" x14ac:dyDescent="0.25">
      <c r="A29" s="126" t="s">
        <v>59</v>
      </c>
      <c r="B29" s="87">
        <v>3</v>
      </c>
      <c r="C29" s="88">
        <f>494.7/1000</f>
        <v>0.49469999999999997</v>
      </c>
      <c r="D29" s="96">
        <f ca="1">IFERROR(__xludf.DUMMYFUNCTION("$C23*IMPORTRANGE(""https://docs.google.com/spreadsheets/d/1xsp01RMmkav9iTy39Zaj_7tE9677EGlOJ14KU9TZn7I/"",""1985-2003!H429"")"),0.49628304)</f>
        <v>0.49628304000000001</v>
      </c>
      <c r="E29" s="96">
        <f ca="1">IFERROR(__xludf.DUMMYFUNCTION("$C23*IMPORTRANGE(""https://docs.google.com/spreadsheets/d/1xsp01RMmkav9iTy39Zaj_7tE9677EGlOJ14KU9TZn7I/"",""1985-2003!T429"")"),0.329767019999999)</f>
        <v>0.32976701999999902</v>
      </c>
      <c r="F29" s="96">
        <f ca="1">IFERROR(__xludf.DUMMYFUNCTION("$C23*IMPORTRANGE(""https://docs.google.com/spreadsheets/d/1xsp01RMmkav9iTy39Zaj_7tE9677EGlOJ14KU9TZn7I/"",""1985-2003!AC429"")"),78.187335)</f>
        <v>78.187335000000004</v>
      </c>
      <c r="G29" s="126" t="s">
        <v>8</v>
      </c>
      <c r="H29" s="76"/>
      <c r="I29" s="76"/>
      <c r="J29" s="76"/>
      <c r="K29" s="77"/>
      <c r="L29" s="78"/>
      <c r="M29" s="79"/>
      <c r="N29" s="79"/>
      <c r="O29" s="79"/>
      <c r="P29" s="79"/>
      <c r="Q29" s="77"/>
      <c r="R29" s="76"/>
      <c r="S29" s="76"/>
      <c r="T29" s="76"/>
      <c r="U29" s="76"/>
      <c r="V29" s="76"/>
      <c r="W29" s="76"/>
      <c r="X29" s="76"/>
      <c r="Y29" s="76"/>
      <c r="Z29" s="76"/>
      <c r="AA29" s="80"/>
      <c r="AB29" s="80"/>
      <c r="AC29" s="80"/>
    </row>
    <row r="30" spans="1:29" ht="13.2" x14ac:dyDescent="0.25">
      <c r="A30" s="128" t="s">
        <v>60</v>
      </c>
      <c r="B30" s="97">
        <v>1</v>
      </c>
      <c r="C30" s="98">
        <v>0</v>
      </c>
      <c r="D30" s="99">
        <f ca="1">IFERROR(__xludf.DUMMYFUNCTION("$C24*IMPORTRANGE(""https://docs.google.com/spreadsheets/d/1xsp01RMmkav9iTy39Zaj_7tE9677EGlOJ14KU9TZn7I/"",""1985-2003!H451"")"),0)</f>
        <v>0</v>
      </c>
      <c r="E30" s="99">
        <f ca="1">IFERROR(__xludf.DUMMYFUNCTION("$C24*IMPORTRANGE(""https://docs.google.com/spreadsheets/d/1xsp01RMmkav9iTy39Zaj_7tE9677EGlOJ14KU9TZn7I/"",""1985-2003!T451"")"),0)</f>
        <v>0</v>
      </c>
      <c r="F30" s="99">
        <f ca="1">IFERROR(__xludf.DUMMYFUNCTION("$C24*IMPORTRANGE(""https://docs.google.com/spreadsheets/d/1xsp01RMmkav9iTy39Zaj_7tE9677EGlOJ14KU9TZn7I/"",""1985-2003!AC451"")"),0)</f>
        <v>0</v>
      </c>
      <c r="G30" s="128" t="s">
        <v>8</v>
      </c>
      <c r="H30" s="76"/>
      <c r="I30" s="76"/>
      <c r="J30" s="76"/>
      <c r="K30" s="77"/>
      <c r="L30" s="78"/>
      <c r="M30" s="79"/>
      <c r="N30" s="79"/>
      <c r="O30" s="79"/>
      <c r="P30" s="79"/>
      <c r="Q30" s="77"/>
      <c r="R30" s="76"/>
      <c r="S30" s="76"/>
      <c r="T30" s="76"/>
      <c r="U30" s="76"/>
      <c r="V30" s="76"/>
      <c r="W30" s="76"/>
      <c r="X30" s="76"/>
      <c r="Y30" s="76"/>
      <c r="Z30" s="76"/>
      <c r="AA30" s="80"/>
      <c r="AB30" s="80"/>
      <c r="AC30" s="80"/>
    </row>
    <row r="31" spans="1:29" ht="13.2" x14ac:dyDescent="0.25">
      <c r="A31" s="126" t="s">
        <v>61</v>
      </c>
      <c r="B31" s="87">
        <v>2</v>
      </c>
      <c r="C31" s="88">
        <f>259.3/1000</f>
        <v>0.25930000000000003</v>
      </c>
      <c r="D31" s="96">
        <f ca="1">IFERROR(__xludf.DUMMYFUNCTION("$C25*IMPORTRANGE(""https://docs.google.com/spreadsheets/d/1xsp01RMmkav9iTy39Zaj_7tE9677EGlOJ14KU9TZn7I/"",""1985-2003!H474"")"),0.24916137)</f>
        <v>0.24916136999999999</v>
      </c>
      <c r="E31" s="96">
        <f ca="1">IFERROR(__xludf.DUMMYFUNCTION("$C25*IMPORTRANGE(""https://docs.google.com/spreadsheets/d/1xsp01RMmkav9iTy39Zaj_7tE9677EGlOJ14KU9TZn7I/"",""1985-2003!T474"")"),0.17567575)</f>
        <v>0.17567574999999999</v>
      </c>
      <c r="F31" s="96">
        <f ca="1">IFERROR(__xludf.DUMMYFUNCTION("$C25*IMPORTRANGE(""https://docs.google.com/spreadsheets/d/1xsp01RMmkav9iTy39Zaj_7tE9677EGlOJ14KU9TZn7I/"",""1985-2003!AC474"")"),40.11371)</f>
        <v>40.113709999999998</v>
      </c>
      <c r="G31" s="126" t="s">
        <v>8</v>
      </c>
      <c r="H31" s="76"/>
      <c r="I31" s="76"/>
      <c r="J31" s="76"/>
      <c r="K31" s="77"/>
      <c r="L31" s="78"/>
      <c r="M31" s="79"/>
      <c r="N31" s="79"/>
      <c r="O31" s="79"/>
      <c r="P31" s="79"/>
      <c r="Q31" s="77"/>
      <c r="R31" s="76"/>
      <c r="S31" s="76"/>
      <c r="T31" s="76"/>
      <c r="U31" s="76"/>
      <c r="V31" s="76"/>
      <c r="W31" s="76"/>
      <c r="X31" s="76"/>
      <c r="Y31" s="76"/>
      <c r="Z31" s="76"/>
      <c r="AA31" s="80"/>
      <c r="AB31" s="80"/>
      <c r="AC31" s="80"/>
    </row>
    <row r="32" spans="1:29" ht="13.2" x14ac:dyDescent="0.25">
      <c r="A32" s="128" t="s">
        <v>62</v>
      </c>
      <c r="B32" s="97">
        <v>0</v>
      </c>
      <c r="C32" s="98">
        <v>0</v>
      </c>
      <c r="D32" s="99">
        <f ca="1">IFERROR(__xludf.DUMMYFUNCTION("$C26*IMPORTRANGE(""https://docs.google.com/spreadsheets/d/1xsp01RMmkav9iTy39Zaj_7tE9677EGlOJ14KU9TZn7I/"",""1985-2003!H498"")"),0)</f>
        <v>0</v>
      </c>
      <c r="E32" s="99">
        <f ca="1">IFERROR(__xludf.DUMMYFUNCTION("$C26*IMPORTRANGE(""https://docs.google.com/spreadsheets/d/1xsp01RMmkav9iTy39Zaj_7tE9677EGlOJ14KU9TZn7I/"",""1985-2003!T498"")"),0)</f>
        <v>0</v>
      </c>
      <c r="F32" s="99">
        <f ca="1">IFERROR(__xludf.DUMMYFUNCTION("$C26*IMPORTRANGE(""https://docs.google.com/spreadsheets/d/1xsp01RMmkav9iTy39Zaj_7tE9677EGlOJ14KU9TZn7I/"",""1985-2003!AC498"")"),0)</f>
        <v>0</v>
      </c>
      <c r="G32" s="128" t="s">
        <v>8</v>
      </c>
      <c r="H32" s="76"/>
      <c r="I32" s="76"/>
      <c r="J32" s="76"/>
      <c r="K32" s="77"/>
      <c r="L32" s="78"/>
      <c r="M32" s="79"/>
      <c r="N32" s="79"/>
      <c r="O32" s="79"/>
      <c r="P32" s="79"/>
      <c r="Q32" s="77"/>
      <c r="R32" s="76"/>
      <c r="S32" s="76"/>
      <c r="T32" s="76"/>
      <c r="U32" s="76"/>
      <c r="V32" s="76"/>
      <c r="W32" s="76"/>
      <c r="X32" s="76"/>
      <c r="Y32" s="76"/>
      <c r="Z32" s="76"/>
      <c r="AA32" s="80"/>
      <c r="AB32" s="80"/>
      <c r="AC32" s="80"/>
    </row>
    <row r="33" spans="1:29" ht="13.2" x14ac:dyDescent="0.25">
      <c r="A33" s="126" t="s">
        <v>63</v>
      </c>
      <c r="B33" s="87">
        <v>0</v>
      </c>
      <c r="C33" s="88">
        <v>0</v>
      </c>
      <c r="D33" s="96">
        <f ca="1">IFERROR(__xludf.DUMMYFUNCTION("$C27*IMPORTRANGE(""https://docs.google.com/spreadsheets/d/1xsp01RMmkav9iTy39Zaj_7tE9677EGlOJ14KU9TZn7I/"",""1985-2003!H519"")"),0)</f>
        <v>0</v>
      </c>
      <c r="E33" s="96">
        <f ca="1">IFERROR(__xludf.DUMMYFUNCTION("$C27*IMPORTRANGE(""https://docs.google.com/spreadsheets/d/1xsp01RMmkav9iTy39Zaj_7tE9677EGlOJ14KU9TZn7I/"",""1985-2003!T519"")"),0)</f>
        <v>0</v>
      </c>
      <c r="F33" s="96">
        <f ca="1">IFERROR(__xludf.DUMMYFUNCTION("$C27*IMPORTRANGE(""https://docs.google.com/spreadsheets/d/1xsp01RMmkav9iTy39Zaj_7tE9677EGlOJ14KU9TZn7I/"",""1985-2003!AC519"")"),0)</f>
        <v>0</v>
      </c>
      <c r="G33" s="126" t="s">
        <v>8</v>
      </c>
      <c r="H33" s="76"/>
      <c r="I33" s="76"/>
      <c r="J33" s="76"/>
      <c r="K33" s="77"/>
      <c r="L33" s="78"/>
      <c r="M33" s="79"/>
      <c r="N33" s="79"/>
      <c r="O33" s="79"/>
      <c r="P33" s="79"/>
      <c r="Q33" s="77"/>
      <c r="R33" s="76"/>
      <c r="S33" s="76"/>
      <c r="T33" s="76"/>
      <c r="U33" s="76"/>
      <c r="V33" s="76"/>
      <c r="W33" s="76"/>
      <c r="X33" s="76"/>
      <c r="Y33" s="76"/>
      <c r="Z33" s="76"/>
      <c r="AA33" s="80"/>
      <c r="AB33" s="80"/>
      <c r="AC33" s="80"/>
    </row>
    <row r="34" spans="1:29" ht="13.2" x14ac:dyDescent="0.25">
      <c r="A34" s="129" t="s">
        <v>64</v>
      </c>
      <c r="B34" s="100">
        <v>8</v>
      </c>
      <c r="C34" s="101">
        <f>1135.3/1000</f>
        <v>1.1353</v>
      </c>
      <c r="D34" s="102">
        <f ca="1">IFERROR(__xludf.DUMMYFUNCTION("$C28*IMPORTRANGE(""https://docs.google.com/spreadsheets/d/1xsp01RMmkav9iTy39Zaj_7tE9677EGlOJ14KU9TZn7I/"",""1985-2003!H542"")"),1.0694526)</f>
        <v>1.0694526</v>
      </c>
      <c r="E34" s="102">
        <f ca="1">IFERROR(__xludf.DUMMYFUNCTION("$C28*IMPORTRANGE(""https://docs.google.com/spreadsheets/d/1xsp01RMmkav9iTy39Zaj_7tE9677EGlOJ14KU9TZn7I/"",""1985-2003!T542"")"),0.79277999)</f>
        <v>0.79277998999999999</v>
      </c>
      <c r="F34" s="102">
        <f ca="1">IFERROR(__xludf.DUMMYFUNCTION("$C28*IMPORTRANGE(""https://docs.google.com/spreadsheets/d/1xsp01RMmkav9iTy39Zaj_7tE9677EGlOJ14KU9TZn7I/"",""1985-2003!AC542"")"),184.497603)</f>
        <v>184.497603</v>
      </c>
      <c r="G34" s="129" t="s">
        <v>8</v>
      </c>
      <c r="H34" s="76"/>
      <c r="I34" s="76"/>
      <c r="J34" s="76"/>
      <c r="K34" s="77"/>
      <c r="L34" s="78"/>
      <c r="M34" s="79"/>
      <c r="N34" s="79"/>
      <c r="O34" s="79"/>
      <c r="P34" s="79"/>
      <c r="Q34" s="77"/>
      <c r="R34" s="76"/>
      <c r="S34" s="76"/>
      <c r="T34" s="76"/>
      <c r="U34" s="76"/>
      <c r="V34" s="76"/>
      <c r="W34" s="76"/>
      <c r="X34" s="76"/>
      <c r="Y34" s="76"/>
      <c r="Z34" s="76"/>
      <c r="AA34" s="80"/>
      <c r="AB34" s="80"/>
      <c r="AC34" s="80"/>
    </row>
    <row r="35" spans="1:29" ht="13.2" x14ac:dyDescent="0.25">
      <c r="A35" s="120">
        <v>1987</v>
      </c>
      <c r="B35" s="121"/>
      <c r="C35" s="122"/>
      <c r="D35" s="122"/>
      <c r="E35" s="122"/>
      <c r="F35" s="122"/>
      <c r="G35" s="123"/>
      <c r="H35" s="76"/>
      <c r="I35" s="76"/>
      <c r="J35" s="76"/>
      <c r="K35" s="77"/>
      <c r="L35" s="78"/>
      <c r="M35" s="79"/>
      <c r="N35" s="79"/>
      <c r="O35" s="79"/>
      <c r="P35" s="79"/>
      <c r="Q35" s="77"/>
      <c r="R35" s="76"/>
      <c r="S35" s="76"/>
      <c r="T35" s="76"/>
      <c r="U35" s="76"/>
      <c r="V35" s="76"/>
      <c r="W35" s="76"/>
      <c r="X35" s="76"/>
      <c r="Y35" s="76"/>
      <c r="Z35" s="76"/>
      <c r="AA35" s="80"/>
      <c r="AB35" s="80"/>
      <c r="AC35" s="80"/>
    </row>
    <row r="36" spans="1:29" ht="13.2" x14ac:dyDescent="0.25">
      <c r="A36" s="124" t="s">
        <v>65</v>
      </c>
      <c r="B36" s="84">
        <v>0</v>
      </c>
      <c r="C36" s="85">
        <v>0</v>
      </c>
      <c r="D36" s="95">
        <f ca="1">IFERROR(__xludf.DUMMYFUNCTION("$C30*IMPORTRANGE(""https://docs.google.com/spreadsheets/d/1xsp01RMmkav9iTy39Zaj_7tE9677EGlOJ14KU9TZn7I/"",""1985-2003!H565"")"),0)</f>
        <v>0</v>
      </c>
      <c r="E36" s="95">
        <f ca="1">IFERROR(__xludf.DUMMYFUNCTION("$C30*IMPORTRANGE(""https://docs.google.com/spreadsheets/d/1xsp01RMmkav9iTy39Zaj_7tE9677EGlOJ14KU9TZn7I/"",""1985-2003!T565"")"),0)</f>
        <v>0</v>
      </c>
      <c r="F36" s="95">
        <f ca="1">IFERROR(__xludf.DUMMYFUNCTION("$C30*IMPORTRANGE(""https://docs.google.com/spreadsheets/d/1xsp01RMmkav9iTy39Zaj_7tE9677EGlOJ14KU9TZn7I/"",""1985-2003!AC565"")"),0)</f>
        <v>0</v>
      </c>
      <c r="G36" s="124" t="s">
        <v>8</v>
      </c>
      <c r="H36" s="76"/>
      <c r="I36" s="76"/>
      <c r="J36" s="76"/>
      <c r="K36" s="77"/>
      <c r="L36" s="78"/>
      <c r="M36" s="79"/>
      <c r="N36" s="79"/>
      <c r="O36" s="79"/>
      <c r="P36" s="79"/>
      <c r="Q36" s="77"/>
      <c r="R36" s="76"/>
      <c r="S36" s="76"/>
      <c r="T36" s="76"/>
      <c r="U36" s="76"/>
      <c r="V36" s="76"/>
      <c r="W36" s="76"/>
      <c r="X36" s="76"/>
      <c r="Y36" s="76"/>
      <c r="Z36" s="76"/>
      <c r="AA36" s="80"/>
      <c r="AB36" s="80"/>
      <c r="AC36" s="80"/>
    </row>
    <row r="37" spans="1:29" ht="13.2" x14ac:dyDescent="0.25">
      <c r="A37" s="128" t="s">
        <v>66</v>
      </c>
      <c r="B37" s="97">
        <v>0</v>
      </c>
      <c r="C37" s="98">
        <v>0</v>
      </c>
      <c r="D37" s="99">
        <f ca="1">IFERROR(__xludf.DUMMYFUNCTION("$C31*IMPORTRANGE(""https://docs.google.com/spreadsheets/d/1xsp01RMmkav9iTy39Zaj_7tE9677EGlOJ14KU9TZn7I/"",""1985-2003!H586"")"),0)</f>
        <v>0</v>
      </c>
      <c r="E37" s="99">
        <f ca="1">IFERROR(__xludf.DUMMYFUNCTION("$C31*IMPORTRANGE(""https://docs.google.com/spreadsheets/d/1xsp01RMmkav9iTy39Zaj_7tE9677EGlOJ14KU9TZn7I/"",""1985-2003!T586"")"),0)</f>
        <v>0</v>
      </c>
      <c r="F37" s="99">
        <f ca="1">IFERROR(__xludf.DUMMYFUNCTION("$C31*IMPORTRANGE(""https://docs.google.com/spreadsheets/d/1xsp01RMmkav9iTy39Zaj_7tE9677EGlOJ14KU9TZn7I/"",""1985-2003!AC586"")"),0)</f>
        <v>0</v>
      </c>
      <c r="G37" s="128" t="s">
        <v>8</v>
      </c>
      <c r="H37" s="76"/>
      <c r="I37" s="76"/>
      <c r="J37" s="76"/>
      <c r="K37" s="77"/>
      <c r="L37" s="78"/>
      <c r="M37" s="79"/>
      <c r="N37" s="79"/>
      <c r="O37" s="79"/>
      <c r="P37" s="79"/>
      <c r="Q37" s="77"/>
      <c r="R37" s="76"/>
      <c r="S37" s="76"/>
      <c r="T37" s="76"/>
      <c r="U37" s="76"/>
      <c r="V37" s="76"/>
      <c r="W37" s="76"/>
      <c r="X37" s="76"/>
      <c r="Y37" s="76"/>
      <c r="Z37" s="76"/>
      <c r="AA37" s="80"/>
      <c r="AB37" s="80"/>
      <c r="AC37" s="80"/>
    </row>
    <row r="38" spans="1:29" ht="13.2" x14ac:dyDescent="0.25">
      <c r="A38" s="126" t="s">
        <v>67</v>
      </c>
      <c r="B38" s="87">
        <v>0</v>
      </c>
      <c r="C38" s="88">
        <v>0</v>
      </c>
      <c r="D38" s="96">
        <f ca="1">IFERROR(__xludf.DUMMYFUNCTION("$C32*IMPORTRANGE(""https://docs.google.com/spreadsheets/d/1xsp01RMmkav9iTy39Zaj_7tE9677EGlOJ14KU9TZn7I/"",""1985-2003!H609"")"),0)</f>
        <v>0</v>
      </c>
      <c r="E38" s="96">
        <f ca="1">IFERROR(__xludf.DUMMYFUNCTION("$C32*IMPORTRANGE(""https://docs.google.com/spreadsheets/d/1xsp01RMmkav9iTy39Zaj_7tE9677EGlOJ14KU9TZn7I/"",""1985-2003!T609"")"),0)</f>
        <v>0</v>
      </c>
      <c r="F38" s="96">
        <f ca="1">IFERROR(__xludf.DUMMYFUNCTION("$C32*IMPORTRANGE(""https://docs.google.com/spreadsheets/d/1xsp01RMmkav9iTy39Zaj_7tE9677EGlOJ14KU9TZn7I/"",""1985-2003!AC609"")"),0)</f>
        <v>0</v>
      </c>
      <c r="G38" s="126" t="s">
        <v>8</v>
      </c>
      <c r="H38" s="76"/>
      <c r="I38" s="76"/>
      <c r="J38" s="76"/>
      <c r="K38" s="77"/>
      <c r="L38" s="78"/>
      <c r="M38" s="79"/>
      <c r="N38" s="79"/>
      <c r="O38" s="79"/>
      <c r="P38" s="79"/>
      <c r="Q38" s="77"/>
      <c r="R38" s="76"/>
      <c r="S38" s="76"/>
      <c r="T38" s="76"/>
      <c r="U38" s="76"/>
      <c r="V38" s="76"/>
      <c r="W38" s="76"/>
      <c r="X38" s="76"/>
      <c r="Y38" s="76"/>
      <c r="Z38" s="76"/>
      <c r="AA38" s="80"/>
      <c r="AB38" s="80"/>
      <c r="AC38" s="80"/>
    </row>
    <row r="39" spans="1:29" ht="13.2" x14ac:dyDescent="0.25">
      <c r="A39" s="128" t="s">
        <v>68</v>
      </c>
      <c r="B39" s="104">
        <v>0</v>
      </c>
      <c r="C39" s="98">
        <v>0</v>
      </c>
      <c r="D39" s="99">
        <f ca="1">IFERROR(__xludf.DUMMYFUNCTION("$C33*IMPORTRANGE(""https://docs.google.com/spreadsheets/d/1xsp01RMmkav9iTy39Zaj_7tE9677EGlOJ14KU9TZn7I/"",""1985-2003!H632"")"),0)</f>
        <v>0</v>
      </c>
      <c r="E39" s="99">
        <f ca="1">IFERROR(__xludf.DUMMYFUNCTION("$C33*IMPORTRANGE(""https://docs.google.com/spreadsheets/d/1xsp01RMmkav9iTy39Zaj_7tE9677EGlOJ14KU9TZn7I/"",""1985-2003!T632"")"),0)</f>
        <v>0</v>
      </c>
      <c r="F39" s="99">
        <f ca="1">IFERROR(__xludf.DUMMYFUNCTION("$C33*IMPORTRANGE(""https://docs.google.com/spreadsheets/d/1xsp01RMmkav9iTy39Zaj_7tE9677EGlOJ14KU9TZn7I/"",""1985-2003!AC632"")"),0)</f>
        <v>0</v>
      </c>
      <c r="G39" s="128" t="s">
        <v>8</v>
      </c>
      <c r="H39" s="76"/>
      <c r="I39" s="76"/>
      <c r="J39" s="76"/>
      <c r="K39" s="77"/>
      <c r="L39" s="78"/>
      <c r="M39" s="79"/>
      <c r="N39" s="79"/>
      <c r="O39" s="79"/>
      <c r="P39" s="79"/>
      <c r="Q39" s="77"/>
      <c r="R39" s="76"/>
      <c r="S39" s="76"/>
      <c r="T39" s="76"/>
      <c r="U39" s="76"/>
      <c r="V39" s="76"/>
      <c r="W39" s="76"/>
      <c r="X39" s="76"/>
      <c r="Y39" s="76"/>
      <c r="Z39" s="76"/>
      <c r="AA39" s="80"/>
      <c r="AB39" s="80"/>
      <c r="AC39" s="80"/>
    </row>
    <row r="40" spans="1:29" ht="13.2" x14ac:dyDescent="0.25">
      <c r="A40" s="126" t="s">
        <v>69</v>
      </c>
      <c r="B40" s="103">
        <v>0</v>
      </c>
      <c r="C40" s="88">
        <v>0</v>
      </c>
      <c r="D40" s="96">
        <f ca="1">IFERROR(__xludf.DUMMYFUNCTION("$C34*IMPORTRANGE(""https://docs.google.com/spreadsheets/d/1xsp01RMmkav9iTy39Zaj_7tE9677EGlOJ14KU9TZn7I/"",""1985-2003!H653"")"),0)</f>
        <v>0</v>
      </c>
      <c r="E40" s="96">
        <f ca="1">IFERROR(__xludf.DUMMYFUNCTION("$C34*IMPORTRANGE(""https://docs.google.com/spreadsheets/d/1xsp01RMmkav9iTy39Zaj_7tE9677EGlOJ14KU9TZn7I/"",""1985-2003!T653"")"),0)</f>
        <v>0</v>
      </c>
      <c r="F40" s="96">
        <f ca="1">IFERROR(__xludf.DUMMYFUNCTION("$C34*IMPORTRANGE(""https://docs.google.com/spreadsheets/d/1xsp01RMmkav9iTy39Zaj_7tE9677EGlOJ14KU9TZn7I/"",""1985-2003!AC653"")"),0)</f>
        <v>0</v>
      </c>
      <c r="G40" s="126" t="s">
        <v>8</v>
      </c>
      <c r="H40" s="76"/>
      <c r="I40" s="76"/>
      <c r="J40" s="76"/>
      <c r="K40" s="77"/>
      <c r="L40" s="78"/>
      <c r="M40" s="79"/>
      <c r="N40" s="79"/>
      <c r="O40" s="79"/>
      <c r="P40" s="79"/>
      <c r="Q40" s="77"/>
      <c r="R40" s="76"/>
      <c r="S40" s="76"/>
      <c r="T40" s="76"/>
      <c r="U40" s="76"/>
      <c r="V40" s="76"/>
      <c r="W40" s="76"/>
      <c r="X40" s="76"/>
      <c r="Y40" s="76"/>
      <c r="Z40" s="76"/>
      <c r="AA40" s="80"/>
      <c r="AB40" s="80"/>
      <c r="AC40" s="80"/>
    </row>
    <row r="41" spans="1:29" ht="13.2" x14ac:dyDescent="0.25">
      <c r="A41" s="128" t="s">
        <v>70</v>
      </c>
      <c r="B41" s="97">
        <v>1</v>
      </c>
      <c r="C41" s="98">
        <v>0</v>
      </c>
      <c r="D41" s="99">
        <f ca="1">IFERROR(__xludf.DUMMYFUNCTION("$C35*IMPORTRANGE(""https://docs.google.com/spreadsheets/d/1xsp01RMmkav9iTy39Zaj_7tE9677EGlOJ14KU9TZn7I/"",""1985-2003!H676"")"),0)</f>
        <v>0</v>
      </c>
      <c r="E41" s="99">
        <f ca="1">IFERROR(__xludf.DUMMYFUNCTION("$C35*IMPORTRANGE(""https://docs.google.com/spreadsheets/d/1xsp01RMmkav9iTy39Zaj_7tE9677EGlOJ14KU9TZn7I/"",""1985-2003!T676"")"),0)</f>
        <v>0</v>
      </c>
      <c r="F41" s="99">
        <f ca="1">IFERROR(__xludf.DUMMYFUNCTION("$C35*IMPORTRANGE(""https://docs.google.com/spreadsheets/d/1xsp01RMmkav9iTy39Zaj_7tE9677EGlOJ14KU9TZn7I/"",""1985-2003!AC676"")"),0)</f>
        <v>0</v>
      </c>
      <c r="G41" s="128" t="s">
        <v>8</v>
      </c>
      <c r="H41" s="76"/>
      <c r="I41" s="76"/>
      <c r="J41" s="76"/>
      <c r="K41" s="77"/>
      <c r="L41" s="78"/>
      <c r="M41" s="79"/>
      <c r="N41" s="79"/>
      <c r="O41" s="79"/>
      <c r="P41" s="79"/>
      <c r="Q41" s="77"/>
      <c r="R41" s="76"/>
      <c r="S41" s="76"/>
      <c r="T41" s="76"/>
      <c r="U41" s="76"/>
      <c r="V41" s="76"/>
      <c r="W41" s="76"/>
      <c r="X41" s="76"/>
      <c r="Y41" s="76"/>
      <c r="Z41" s="76"/>
      <c r="AA41" s="80"/>
      <c r="AB41" s="80"/>
      <c r="AC41" s="80"/>
    </row>
    <row r="42" spans="1:29" ht="13.2" x14ac:dyDescent="0.25">
      <c r="A42" s="126" t="s">
        <v>71</v>
      </c>
      <c r="B42" s="87">
        <v>0</v>
      </c>
      <c r="C42" s="88">
        <v>0</v>
      </c>
      <c r="D42" s="96">
        <f ca="1">IFERROR(__xludf.DUMMYFUNCTION("$C36*IMPORTRANGE(""https://docs.google.com/spreadsheets/d/1xsp01RMmkav9iTy39Zaj_7tE9677EGlOJ14KU9TZn7I/"",""1985-2003!H700"")"),0)</f>
        <v>0</v>
      </c>
      <c r="E42" s="96">
        <f ca="1">IFERROR(__xludf.DUMMYFUNCTION("$C36*IMPORTRANGE(""https://docs.google.com/spreadsheets/d/1xsp01RMmkav9iTy39Zaj_7tE9677EGlOJ14KU9TZn7I/"",""1985-2003!T700"")"),0)</f>
        <v>0</v>
      </c>
      <c r="F42" s="96">
        <f ca="1">IFERROR(__xludf.DUMMYFUNCTION("$C36*IMPORTRANGE(""https://docs.google.com/spreadsheets/d/1xsp01RMmkav9iTy39Zaj_7tE9677EGlOJ14KU9TZn7I/"",""1985-2003!AC700"")"),0)</f>
        <v>0</v>
      </c>
      <c r="G42" s="126" t="s">
        <v>8</v>
      </c>
      <c r="H42" s="76"/>
      <c r="I42" s="76"/>
      <c r="J42" s="76"/>
      <c r="K42" s="77"/>
      <c r="L42" s="78"/>
      <c r="M42" s="79"/>
      <c r="N42" s="79"/>
      <c r="O42" s="79"/>
      <c r="P42" s="79"/>
      <c r="Q42" s="77"/>
      <c r="R42" s="76"/>
      <c r="S42" s="76"/>
      <c r="T42" s="76"/>
      <c r="U42" s="76"/>
      <c r="V42" s="76"/>
      <c r="W42" s="76"/>
      <c r="X42" s="76"/>
      <c r="Y42" s="76"/>
      <c r="Z42" s="76"/>
      <c r="AA42" s="80"/>
      <c r="AB42" s="80"/>
      <c r="AC42" s="80"/>
    </row>
    <row r="43" spans="1:29" ht="13.2" x14ac:dyDescent="0.25">
      <c r="A43" s="128" t="s">
        <v>72</v>
      </c>
      <c r="B43" s="97">
        <v>0</v>
      </c>
      <c r="C43" s="98">
        <v>0</v>
      </c>
      <c r="D43" s="99">
        <f ca="1">IFERROR(__xludf.DUMMYFUNCTION("$C37*IMPORTRANGE(""https://docs.google.com/spreadsheets/d/1xsp01RMmkav9iTy39Zaj_7tE9677EGlOJ14KU9TZn7I/"",""1985-2003!H722"")"),0)</f>
        <v>0</v>
      </c>
      <c r="E43" s="99">
        <f ca="1">IFERROR(__xludf.DUMMYFUNCTION("$C37*IMPORTRANGE(""https://docs.google.com/spreadsheets/d/1xsp01RMmkav9iTy39Zaj_7tE9677EGlOJ14KU9TZn7I/"",""1985-2003!AC722"")"),0)</f>
        <v>0</v>
      </c>
      <c r="F43" s="99">
        <f ca="1">IFERROR(__xludf.DUMMYFUNCTION("$C37*IMPORTRANGE(""https://docs.google.com/spreadsheets/d/1xsp01RMmkav9iTy39Zaj_7tE9677EGlOJ14KU9TZn7I/"",""1985-2003!AC722"")"),0)</f>
        <v>0</v>
      </c>
      <c r="G43" s="128" t="s">
        <v>8</v>
      </c>
      <c r="H43" s="76"/>
      <c r="I43" s="76"/>
      <c r="J43" s="76"/>
      <c r="K43" s="77"/>
      <c r="L43" s="78"/>
      <c r="M43" s="79"/>
      <c r="N43" s="79"/>
      <c r="O43" s="79"/>
      <c r="P43" s="79"/>
      <c r="Q43" s="77"/>
      <c r="R43" s="76"/>
      <c r="S43" s="76"/>
      <c r="T43" s="76"/>
      <c r="U43" s="76"/>
      <c r="V43" s="76"/>
      <c r="W43" s="76"/>
      <c r="X43" s="76"/>
      <c r="Y43" s="76"/>
      <c r="Z43" s="76"/>
      <c r="AA43" s="80"/>
      <c r="AB43" s="80"/>
      <c r="AC43" s="80"/>
    </row>
    <row r="44" spans="1:29" ht="13.2" x14ac:dyDescent="0.25">
      <c r="A44" s="126" t="s">
        <v>73</v>
      </c>
      <c r="B44" s="87">
        <v>0</v>
      </c>
      <c r="C44" s="88">
        <v>0</v>
      </c>
      <c r="D44" s="96">
        <f ca="1">IFERROR(__xludf.DUMMYFUNCTION("$C38*IMPORTRANGE(""https://docs.google.com/spreadsheets/d/1xsp01RMmkav9iTy39Zaj_7tE9677EGlOJ14KU9TZn7I/"",""1985-2003!H745"")"),0)</f>
        <v>0</v>
      </c>
      <c r="E44" s="96">
        <f ca="1">IFERROR(__xludf.DUMMYFUNCTION("$C38*IMPORTRANGE(""https://docs.google.com/spreadsheets/d/1xsp01RMmkav9iTy39Zaj_7tE9677EGlOJ14KU9TZn7I/"",""1985-2003!T745"")"),0)</f>
        <v>0</v>
      </c>
      <c r="F44" s="96">
        <f ca="1">IFERROR(__xludf.DUMMYFUNCTION("$C38*IMPORTRANGE(""https://docs.google.com/spreadsheets/d/1xsp01RMmkav9iTy39Zaj_7tE9677EGlOJ14KU9TZn7I/"",""1985-2003!AC745"")"),0)</f>
        <v>0</v>
      </c>
      <c r="G44" s="126" t="s">
        <v>8</v>
      </c>
      <c r="H44" s="76"/>
      <c r="I44" s="76"/>
      <c r="J44" s="76"/>
      <c r="K44" s="77"/>
      <c r="L44" s="78"/>
      <c r="M44" s="79"/>
      <c r="N44" s="79"/>
      <c r="O44" s="79"/>
      <c r="P44" s="79"/>
      <c r="Q44" s="77"/>
      <c r="R44" s="76"/>
      <c r="S44" s="76"/>
      <c r="T44" s="76"/>
      <c r="U44" s="76"/>
      <c r="V44" s="76"/>
      <c r="W44" s="76"/>
      <c r="X44" s="76"/>
      <c r="Y44" s="76"/>
      <c r="Z44" s="76"/>
      <c r="AA44" s="80"/>
      <c r="AB44" s="80"/>
      <c r="AC44" s="80"/>
    </row>
    <row r="45" spans="1:29" ht="13.2" x14ac:dyDescent="0.25">
      <c r="A45" s="128" t="s">
        <v>74</v>
      </c>
      <c r="B45" s="97">
        <v>0</v>
      </c>
      <c r="C45" s="98">
        <v>0</v>
      </c>
      <c r="D45" s="99">
        <f ca="1">IFERROR(__xludf.DUMMYFUNCTION("$C39*IMPORTRANGE(""https://docs.google.com/spreadsheets/d/1xsp01RMmkav9iTy39Zaj_7tE9677EGlOJ14KU9TZn7I/"",""1985-2003!H768"")"),0)</f>
        <v>0</v>
      </c>
      <c r="E45" s="99">
        <f ca="1">IFERROR(__xludf.DUMMYFUNCTION("$C39*IMPORTRANGE(""https://docs.google.com/spreadsheets/d/1xsp01RMmkav9iTy39Zaj_7tE9677EGlOJ14KU9TZn7I/"",""1985-2003!T768"")"),0)</f>
        <v>0</v>
      </c>
      <c r="F45" s="99">
        <f ca="1">IFERROR(__xludf.DUMMYFUNCTION("$C39*IMPORTRANGE(""https://docs.google.com/spreadsheets/d/1xsp01RMmkav9iTy39Zaj_7tE9677EGlOJ14KU9TZn7I/"",""1985-2003!AC768"")"),0)</f>
        <v>0</v>
      </c>
      <c r="G45" s="128" t="s">
        <v>8</v>
      </c>
      <c r="H45" s="76"/>
      <c r="I45" s="76"/>
      <c r="J45" s="76"/>
      <c r="K45" s="77"/>
      <c r="L45" s="78"/>
      <c r="M45" s="79"/>
      <c r="N45" s="79"/>
      <c r="O45" s="79"/>
      <c r="P45" s="79"/>
      <c r="Q45" s="77"/>
      <c r="R45" s="76"/>
      <c r="S45" s="76"/>
      <c r="T45" s="76"/>
      <c r="U45" s="76"/>
      <c r="V45" s="76"/>
      <c r="W45" s="76"/>
      <c r="X45" s="76"/>
      <c r="Y45" s="76"/>
      <c r="Z45" s="76"/>
      <c r="AA45" s="80"/>
      <c r="AB45" s="80"/>
      <c r="AC45" s="80"/>
    </row>
    <row r="46" spans="1:29" ht="13.2" x14ac:dyDescent="0.25">
      <c r="A46" s="126" t="s">
        <v>75</v>
      </c>
      <c r="B46" s="87">
        <v>0</v>
      </c>
      <c r="C46" s="88">
        <v>0</v>
      </c>
      <c r="D46" s="96">
        <f ca="1">IFERROR(__xludf.DUMMYFUNCTION("$C40*IMPORTRANGE(""https://docs.google.com/spreadsheets/d/1xsp01RMmkav9iTy39Zaj_7tE9677EGlOJ14KU9TZn7I/"",""1985-2003!H790"")"),0)</f>
        <v>0</v>
      </c>
      <c r="E46" s="96">
        <f ca="1">IFERROR(__xludf.DUMMYFUNCTION("$C40*IMPORTRANGE(""https://docs.google.com/spreadsheets/d/1xsp01RMmkav9iTy39Zaj_7tE9677EGlOJ14KU9TZn7I/"",""1985-2003!T790"")"),0)</f>
        <v>0</v>
      </c>
      <c r="F46" s="96">
        <f ca="1">IFERROR(__xludf.DUMMYFUNCTION("$C40*IMPORTRANGE(""https://docs.google.com/spreadsheets/d/1xsp01RMmkav9iTy39Zaj_7tE9677EGlOJ14KU9TZn7I/"",""1985-2003!AC790"")"),0)</f>
        <v>0</v>
      </c>
      <c r="G46" s="126" t="s">
        <v>8</v>
      </c>
      <c r="H46" s="76"/>
      <c r="I46" s="76"/>
      <c r="J46" s="76"/>
      <c r="K46" s="77"/>
      <c r="L46" s="78"/>
      <c r="M46" s="79"/>
      <c r="N46" s="79"/>
      <c r="O46" s="79"/>
      <c r="P46" s="79"/>
      <c r="Q46" s="77"/>
      <c r="R46" s="76"/>
      <c r="S46" s="76"/>
      <c r="T46" s="76"/>
      <c r="U46" s="76"/>
      <c r="V46" s="76"/>
      <c r="W46" s="76"/>
      <c r="X46" s="76"/>
      <c r="Y46" s="76"/>
      <c r="Z46" s="76"/>
      <c r="AA46" s="80"/>
      <c r="AB46" s="80"/>
      <c r="AC46" s="80"/>
    </row>
    <row r="47" spans="1:29" ht="13.2" x14ac:dyDescent="0.25">
      <c r="A47" s="129" t="s">
        <v>76</v>
      </c>
      <c r="B47" s="100">
        <v>5</v>
      </c>
      <c r="C47" s="101">
        <f>621/1000</f>
        <v>0.621</v>
      </c>
      <c r="D47" s="102">
        <f ca="1">IFERROR(__xludf.DUMMYFUNCTION("$C41*IMPORTRANGE(""https://docs.google.com/spreadsheets/d/1xsp01RMmkav9iTy39Zaj_7tE9677EGlOJ14KU9TZn7I/"",""1985-2003!H813"")"),0.4868019)</f>
        <v>0.48680190000000001</v>
      </c>
      <c r="E47" s="102">
        <f ca="1">IFERROR(__xludf.DUMMYFUNCTION("$C41*IMPORTRANGE(""https://docs.google.com/spreadsheets/d/1xsp01RMmkav9iTy39Zaj_7tE9677EGlOJ14KU9TZn7I/"",""1985-2003!T813"")"),0.339687)</f>
        <v>0.33968700000000002</v>
      </c>
      <c r="F47" s="102">
        <f ca="1">IFERROR(__xludf.DUMMYFUNCTION("$C41*IMPORTRANGE(""https://docs.google.com/spreadsheets/d/1xsp01RMmkav9iTy39Zaj_7tE9677EGlOJ14KU9TZn7I/"",""1985-2003!AC813"")"),79.1402399999999)</f>
        <v>79.140239999999906</v>
      </c>
      <c r="G47" s="129" t="s">
        <v>8</v>
      </c>
      <c r="H47" s="76"/>
      <c r="I47" s="76"/>
      <c r="J47" s="76"/>
      <c r="K47" s="77"/>
      <c r="L47" s="78"/>
      <c r="M47" s="79"/>
      <c r="N47" s="79"/>
      <c r="O47" s="79"/>
      <c r="P47" s="79"/>
      <c r="Q47" s="77"/>
      <c r="R47" s="76"/>
      <c r="S47" s="76"/>
      <c r="T47" s="76"/>
      <c r="U47" s="76"/>
      <c r="V47" s="76"/>
      <c r="W47" s="76"/>
      <c r="X47" s="76"/>
      <c r="Y47" s="76"/>
      <c r="Z47" s="76"/>
      <c r="AA47" s="80"/>
      <c r="AB47" s="80"/>
      <c r="AC47" s="80"/>
    </row>
    <row r="48" spans="1:29" ht="13.2" x14ac:dyDescent="0.25">
      <c r="A48" s="120">
        <v>1988</v>
      </c>
      <c r="B48" s="121"/>
      <c r="C48" s="122"/>
      <c r="D48" s="122"/>
      <c r="E48" s="122"/>
      <c r="F48" s="122"/>
      <c r="G48" s="123"/>
      <c r="H48" s="76"/>
      <c r="I48" s="76"/>
      <c r="J48" s="76"/>
      <c r="K48" s="77"/>
      <c r="L48" s="78"/>
      <c r="M48" s="79"/>
      <c r="N48" s="79"/>
      <c r="O48" s="79"/>
      <c r="P48" s="79"/>
      <c r="Q48" s="77"/>
      <c r="R48" s="76"/>
      <c r="S48" s="76"/>
      <c r="T48" s="76"/>
      <c r="U48" s="76"/>
      <c r="V48" s="76"/>
      <c r="W48" s="76"/>
      <c r="X48" s="76"/>
      <c r="Y48" s="76"/>
      <c r="Z48" s="76"/>
      <c r="AA48" s="80"/>
      <c r="AB48" s="80"/>
      <c r="AC48" s="80"/>
    </row>
    <row r="49" spans="1:29" ht="13.2" x14ac:dyDescent="0.25">
      <c r="A49" s="124" t="s">
        <v>77</v>
      </c>
      <c r="B49" s="84">
        <v>1</v>
      </c>
      <c r="C49" s="85">
        <f>130.5/1000</f>
        <v>0.1305</v>
      </c>
      <c r="D49" s="95">
        <f ca="1">IFERROR(__xludf.DUMMYFUNCTION("$C43*IMPORTRANGE(""https://docs.google.com/spreadsheets/d/1xsp01RMmkav9iTy39Zaj_7tE9677EGlOJ14KU9TZn7I/"",""1985-2003!H835"")"),0.104119425)</f>
        <v>0.104119425</v>
      </c>
      <c r="E49" s="95">
        <f ca="1">IFERROR(__xludf.DUMMYFUNCTION("$C43*IMPORTRANGE(""https://docs.google.com/spreadsheets/d/1xsp01RMmkav9iTy39Zaj_7tE9677EGlOJ14KU9TZn7I/"",""1985-2003!T835"")"),0.07280595)</f>
        <v>7.2805949999999994E-2</v>
      </c>
      <c r="F49" s="95">
        <f ca="1">IFERROR(__xludf.DUMMYFUNCTION("$C43*IMPORTRANGE(""https://docs.google.com/spreadsheets/d/1xsp01RMmkav9iTy39Zaj_7tE9677EGlOJ14KU9TZn7I/"",""1985-2003!AC835"")"),16.671375)</f>
        <v>16.671375000000001</v>
      </c>
      <c r="G49" s="124" t="s">
        <v>8</v>
      </c>
      <c r="H49" s="76"/>
      <c r="I49" s="76"/>
      <c r="J49" s="76"/>
      <c r="K49" s="77"/>
      <c r="L49" s="78"/>
      <c r="M49" s="79"/>
      <c r="N49" s="79"/>
      <c r="O49" s="79"/>
      <c r="P49" s="79"/>
      <c r="Q49" s="77"/>
      <c r="R49" s="76"/>
      <c r="S49" s="76"/>
      <c r="T49" s="76"/>
      <c r="U49" s="76"/>
      <c r="V49" s="76"/>
      <c r="W49" s="76"/>
      <c r="X49" s="76"/>
      <c r="Y49" s="76"/>
      <c r="Z49" s="76"/>
      <c r="AA49" s="80"/>
      <c r="AB49" s="80"/>
      <c r="AC49" s="80"/>
    </row>
    <row r="50" spans="1:29" ht="13.2" x14ac:dyDescent="0.25">
      <c r="A50" s="128" t="s">
        <v>78</v>
      </c>
      <c r="B50" s="97">
        <v>2</v>
      </c>
      <c r="C50" s="98">
        <f>124/1000</f>
        <v>0.124</v>
      </c>
      <c r="D50" s="99">
        <f ca="1">IFERROR(__xludf.DUMMYFUNCTION("$C44*IMPORTRANGE(""https://docs.google.com/spreadsheets/d/1xsp01RMmkav9iTy39Zaj_7tE9677EGlOJ14KU9TZn7I/"",""1985-2003!H857"")"),0.1007748)</f>
        <v>0.1007748</v>
      </c>
      <c r="E50" s="99">
        <f ca="1">IFERROR(__xludf.DUMMYFUNCTION("$C44*IMPORTRANGE(""https://docs.google.com/spreadsheets/d/1xsp01RMmkav9iTy39Zaj_7tE9677EGlOJ14KU9TZn7I/"",""1985-2003!T857"")"),0.0704568)</f>
        <v>7.04568E-2</v>
      </c>
      <c r="F50" s="99">
        <f ca="1">IFERROR(__xludf.DUMMYFUNCTION("$C44*IMPORTRANGE(""https://docs.google.com/spreadsheets/d/1xsp01RMmkav9iTy39Zaj_7tE9677EGlOJ14KU9TZn7I/"",""1985-2003!AC857"")"),16.00034)</f>
        <v>16.000340000000001</v>
      </c>
      <c r="G50" s="128" t="s">
        <v>8</v>
      </c>
      <c r="H50" s="76"/>
      <c r="I50" s="76"/>
      <c r="J50" s="76"/>
      <c r="K50" s="77"/>
      <c r="L50" s="78"/>
      <c r="M50" s="79"/>
      <c r="N50" s="79"/>
      <c r="O50" s="79"/>
      <c r="P50" s="79"/>
      <c r="Q50" s="77"/>
      <c r="R50" s="76"/>
      <c r="S50" s="76"/>
      <c r="T50" s="76"/>
      <c r="U50" s="76"/>
      <c r="V50" s="76"/>
      <c r="W50" s="76"/>
      <c r="X50" s="76"/>
      <c r="Y50" s="76"/>
      <c r="Z50" s="76"/>
      <c r="AA50" s="80"/>
      <c r="AB50" s="80"/>
      <c r="AC50" s="80"/>
    </row>
    <row r="51" spans="1:29" ht="13.2" x14ac:dyDescent="0.25">
      <c r="A51" s="126" t="s">
        <v>79</v>
      </c>
      <c r="B51" s="87">
        <v>1</v>
      </c>
      <c r="C51" s="88">
        <f>612/1000</f>
        <v>0.61199999999999999</v>
      </c>
      <c r="D51" s="96">
        <f ca="1">IFERROR(__xludf.DUMMYFUNCTION("$C45*IMPORTRANGE(""https://docs.google.com/spreadsheets/d/1xsp01RMmkav9iTy39Zaj_7tE9677EGlOJ14KU9TZn7I/"",""1985-2003!H881"")"),0.4921092)</f>
        <v>0.49210920000000002</v>
      </c>
      <c r="E51" s="96">
        <f ca="1">IFERROR(__xludf.DUMMYFUNCTION("$C45*IMPORTRANGE(""https://docs.google.com/spreadsheets/d/1xsp01RMmkav9iTy39Zaj_7tE9677EGlOJ14KU9TZn7I/"",""1985-2003!T881"")"),0.332683199999999)</f>
        <v>0.33268319999999901</v>
      </c>
      <c r="F51" s="96">
        <f ca="1">IFERROR(__xludf.DUMMYFUNCTION("$C45*IMPORTRANGE(""https://docs.google.com/spreadsheets/d/1xsp01RMmkav9iTy39Zaj_7tE9677EGlOJ14KU9TZn7I/"",""1985-2003!AC881"")"),77.95656)</f>
        <v>77.956559999999996</v>
      </c>
      <c r="G51" s="126" t="s">
        <v>8</v>
      </c>
      <c r="H51" s="76"/>
      <c r="I51" s="76"/>
      <c r="J51" s="76"/>
      <c r="K51" s="77"/>
      <c r="L51" s="78"/>
      <c r="M51" s="79"/>
      <c r="N51" s="79"/>
      <c r="O51" s="79"/>
      <c r="P51" s="79"/>
      <c r="Q51" s="77"/>
      <c r="R51" s="76"/>
      <c r="S51" s="76"/>
      <c r="T51" s="76"/>
      <c r="U51" s="76"/>
      <c r="V51" s="76"/>
      <c r="W51" s="76"/>
      <c r="X51" s="76"/>
      <c r="Y51" s="76"/>
      <c r="Z51" s="76"/>
      <c r="AA51" s="80"/>
      <c r="AB51" s="80"/>
      <c r="AC51" s="80"/>
    </row>
    <row r="52" spans="1:29" ht="13.2" x14ac:dyDescent="0.25">
      <c r="A52" s="128" t="s">
        <v>80</v>
      </c>
      <c r="B52" s="97">
        <v>1</v>
      </c>
      <c r="C52" s="98">
        <v>0</v>
      </c>
      <c r="D52" s="99">
        <f ca="1">IFERROR(__xludf.DUMMYFUNCTION("$C46*IMPORTRANGE(""https://docs.google.com/spreadsheets/d/1xsp01RMmkav9iTy39Zaj_7tE9677EGlOJ14KU9TZn7I/"",""1985-2003!H903"")"),0)</f>
        <v>0</v>
      </c>
      <c r="E52" s="99">
        <f ca="1">IFERROR(__xludf.DUMMYFUNCTION("$C46*IMPORTRANGE(""https://docs.google.com/spreadsheets/d/1xsp01RMmkav9iTy39Zaj_7tE9677EGlOJ14KU9TZn7I/"",""1985-2003!T903"")"),0)</f>
        <v>0</v>
      </c>
      <c r="F52" s="99">
        <f ca="1">IFERROR(__xludf.DUMMYFUNCTION("$C46*IMPORTRANGE(""https://docs.google.com/spreadsheets/d/1xsp01RMmkav9iTy39Zaj_7tE9677EGlOJ14KU9TZn7I/"",""1985-2003!AC903"")"),0)</f>
        <v>0</v>
      </c>
      <c r="G52" s="128" t="s">
        <v>8</v>
      </c>
      <c r="H52" s="76"/>
      <c r="I52" s="76"/>
      <c r="J52" s="76"/>
      <c r="K52" s="77"/>
      <c r="L52" s="78"/>
      <c r="M52" s="79"/>
      <c r="N52" s="79"/>
      <c r="O52" s="79"/>
      <c r="P52" s="79"/>
      <c r="Q52" s="77"/>
      <c r="R52" s="76"/>
      <c r="S52" s="76"/>
      <c r="T52" s="76"/>
      <c r="U52" s="76"/>
      <c r="V52" s="76"/>
      <c r="W52" s="76"/>
      <c r="X52" s="76"/>
      <c r="Y52" s="76"/>
      <c r="Z52" s="76"/>
      <c r="AA52" s="80"/>
      <c r="AB52" s="80"/>
      <c r="AC52" s="80"/>
    </row>
    <row r="53" spans="1:29" ht="13.2" x14ac:dyDescent="0.25">
      <c r="A53" s="126" t="s">
        <v>81</v>
      </c>
      <c r="B53" s="87">
        <v>2</v>
      </c>
      <c r="C53" s="88">
        <f>17.3/1000</f>
        <v>1.7299999999999999E-2</v>
      </c>
      <c r="D53" s="96">
        <f ca="1">IFERROR(__xludf.DUMMYFUNCTION("$C47*IMPORTRANGE(""https://docs.google.com/spreadsheets/d/1xsp01RMmkav9iTy39Zaj_7tE9677EGlOJ14KU9TZn7I/"",""1985-2003!H926"")"),0.014046735)</f>
        <v>1.4046734999999999E-2</v>
      </c>
      <c r="E53" s="96">
        <f ca="1">IFERROR(__xludf.DUMMYFUNCTION("$C47*IMPORTRANGE(""https://docs.google.com/spreadsheets/d/1xsp01RMmkav9iTy39Zaj_7tE9677EGlOJ14KU9TZn7I/"",""1985-2003!T926"")"),0.00926847499999999)</f>
        <v>9.2684749999999896E-3</v>
      </c>
      <c r="F53" s="96">
        <f ca="1">IFERROR(__xludf.DUMMYFUNCTION("$C47*IMPORTRANGE(""https://docs.google.com/spreadsheets/d/1xsp01RMmkav9iTy39Zaj_7tE9677EGlOJ14KU9TZn7I/"",""1985-2003!AC926"")"),2.158694)</f>
        <v>2.1586940000000001</v>
      </c>
      <c r="G53" s="126" t="s">
        <v>8</v>
      </c>
      <c r="H53" s="76"/>
      <c r="I53" s="76"/>
      <c r="J53" s="76"/>
      <c r="K53" s="77"/>
      <c r="L53" s="78"/>
      <c r="M53" s="79"/>
      <c r="N53" s="79"/>
      <c r="O53" s="79"/>
      <c r="P53" s="79"/>
      <c r="Q53" s="77"/>
      <c r="R53" s="76"/>
      <c r="S53" s="76"/>
      <c r="T53" s="76"/>
      <c r="U53" s="76"/>
      <c r="V53" s="76"/>
      <c r="W53" s="76"/>
      <c r="X53" s="76"/>
      <c r="Y53" s="76"/>
      <c r="Z53" s="76"/>
      <c r="AA53" s="80"/>
      <c r="AB53" s="80"/>
      <c r="AC53" s="80"/>
    </row>
    <row r="54" spans="1:29" ht="13.2" x14ac:dyDescent="0.25">
      <c r="A54" s="128" t="s">
        <v>82</v>
      </c>
      <c r="B54" s="97">
        <v>2</v>
      </c>
      <c r="C54" s="98">
        <f>1131.3/1000</f>
        <v>1.1313</v>
      </c>
      <c r="D54" s="99">
        <f ca="1">IFERROR(__xludf.DUMMYFUNCTION("$C48*IMPORTRANGE(""https://docs.google.com/spreadsheets/d/1xsp01RMmkav9iTy39Zaj_7tE9677EGlOJ14KU9TZn7I/"",""1985-2003!H949"")"),0.949443525)</f>
        <v>0.94944352499999995</v>
      </c>
      <c r="E54" s="99">
        <f ca="1">IFERROR(__xludf.DUMMYFUNCTION("$C48*IMPORTRANGE(""https://docs.google.com/spreadsheets/d/1xsp01RMmkav9iTy39Zaj_7tE9677EGlOJ14KU9TZn7I/"",""1985-2003!T949"")"),0.63307548)</f>
        <v>0.63307548000000002</v>
      </c>
      <c r="F54" s="99">
        <f ca="1">IFERROR(__xludf.DUMMYFUNCTION("$C48*IMPORTRANGE(""https://docs.google.com/spreadsheets/d/1xsp01RMmkav9iTy39Zaj_7tE9677EGlOJ14KU9TZn7I/"",""1985-2003!AC949"")"),142.792686)</f>
        <v>142.792686</v>
      </c>
      <c r="G54" s="128" t="s">
        <v>8</v>
      </c>
      <c r="H54" s="76"/>
      <c r="I54" s="76"/>
      <c r="J54" s="76"/>
      <c r="K54" s="77"/>
      <c r="L54" s="78"/>
      <c r="M54" s="79"/>
      <c r="N54" s="79"/>
      <c r="O54" s="79"/>
      <c r="P54" s="79"/>
      <c r="Q54" s="77"/>
      <c r="R54" s="76"/>
      <c r="S54" s="76"/>
      <c r="T54" s="76"/>
      <c r="U54" s="76"/>
      <c r="V54" s="76"/>
      <c r="W54" s="76"/>
      <c r="X54" s="76"/>
      <c r="Y54" s="76"/>
      <c r="Z54" s="76"/>
      <c r="AA54" s="80"/>
      <c r="AB54" s="80"/>
      <c r="AC54" s="80"/>
    </row>
    <row r="55" spans="1:29" ht="13.2" x14ac:dyDescent="0.25">
      <c r="A55" s="126" t="s">
        <v>83</v>
      </c>
      <c r="B55" s="87">
        <v>0</v>
      </c>
      <c r="C55" s="88">
        <v>0</v>
      </c>
      <c r="D55" s="96">
        <f ca="1">IFERROR(__xludf.DUMMYFUNCTION("$C49*IMPORTRANGE(""https://docs.google.com/spreadsheets/d/1xsp01RMmkav9iTy39Zaj_7tE9677EGlOJ14KU9TZn7I/"",""1985-2003!H971"")"),0)</f>
        <v>0</v>
      </c>
      <c r="E55" s="96">
        <f ca="1">IFERROR(__xludf.DUMMYFUNCTION("$C49*IMPORTRANGE(""https://docs.google.com/spreadsheets/d/1xsp01RMmkav9iTy39Zaj_7tE9677EGlOJ14KU9TZn7I/"",""1985-2003!T971"")"),0)</f>
        <v>0</v>
      </c>
      <c r="F55" s="96">
        <f ca="1">IFERROR(__xludf.DUMMYFUNCTION("$C49*IMPORTRANGE(""https://docs.google.com/spreadsheets/d/1xsp01RMmkav9iTy39Zaj_7tE9677EGlOJ14KU9TZn7I/"",""1985-2003!AC971"")"),0)</f>
        <v>0</v>
      </c>
      <c r="G55" s="126" t="s">
        <v>8</v>
      </c>
      <c r="H55" s="76"/>
      <c r="I55" s="76"/>
      <c r="J55" s="76"/>
      <c r="K55" s="77"/>
      <c r="L55" s="78"/>
      <c r="M55" s="79"/>
      <c r="N55" s="79"/>
      <c r="O55" s="79"/>
      <c r="P55" s="79"/>
      <c r="Q55" s="77"/>
      <c r="R55" s="76"/>
      <c r="S55" s="76"/>
      <c r="T55" s="76"/>
      <c r="U55" s="76"/>
      <c r="V55" s="76"/>
      <c r="W55" s="76"/>
      <c r="X55" s="76"/>
      <c r="Y55" s="76"/>
      <c r="Z55" s="76"/>
      <c r="AA55" s="80"/>
      <c r="AB55" s="80"/>
      <c r="AC55" s="80"/>
    </row>
    <row r="56" spans="1:29" ht="13.2" x14ac:dyDescent="0.25">
      <c r="A56" s="128" t="s">
        <v>84</v>
      </c>
      <c r="B56" s="97">
        <v>1</v>
      </c>
      <c r="C56" s="98">
        <f>35/1000</f>
        <v>3.5000000000000003E-2</v>
      </c>
      <c r="D56" s="99">
        <f ca="1">IFERROR(__xludf.DUMMYFUNCTION("$C50*IMPORTRANGE(""https://docs.google.com/spreadsheets/d/1xsp01RMmkav9iTy39Zaj_7tE9677EGlOJ14KU9TZn7I/"",""1985-2003!H995"")"),0.03163825)</f>
        <v>3.163825E-2</v>
      </c>
      <c r="E56" s="99">
        <f ca="1">IFERROR(__xludf.DUMMYFUNCTION("$C50*IMPORTRANGE(""https://docs.google.com/spreadsheets/d/1xsp01RMmkav9iTy39Zaj_7tE9677EGlOJ14KU9TZn7I/"",""1985-2003!T995"")"),0.0206324999999999)</f>
        <v>2.0632499999999901E-2</v>
      </c>
      <c r="F56" s="99">
        <f ca="1">IFERROR(__xludf.DUMMYFUNCTION("$C50*IMPORTRANGE(""https://docs.google.com/spreadsheets/d/1xsp01RMmkav9iTy39Zaj_7tE9677EGlOJ14KU9TZn7I/"",""1985-2003!AC995"")"),4.6767)</f>
        <v>4.6767000000000003</v>
      </c>
      <c r="G56" s="128" t="s">
        <v>8</v>
      </c>
      <c r="H56" s="76"/>
      <c r="I56" s="76"/>
      <c r="J56" s="76"/>
      <c r="K56" s="77"/>
      <c r="L56" s="78"/>
      <c r="M56" s="79"/>
      <c r="N56" s="79"/>
      <c r="O56" s="79"/>
      <c r="P56" s="79"/>
      <c r="Q56" s="77"/>
      <c r="R56" s="76"/>
      <c r="S56" s="76"/>
      <c r="T56" s="76"/>
      <c r="U56" s="76"/>
      <c r="V56" s="76"/>
      <c r="W56" s="76"/>
      <c r="X56" s="76"/>
      <c r="Y56" s="76"/>
      <c r="Z56" s="76"/>
      <c r="AA56" s="80"/>
      <c r="AB56" s="80"/>
      <c r="AC56" s="80"/>
    </row>
    <row r="57" spans="1:29" ht="13.2" x14ac:dyDescent="0.25">
      <c r="A57" s="126" t="s">
        <v>85</v>
      </c>
      <c r="B57" s="87">
        <v>0</v>
      </c>
      <c r="C57" s="88">
        <v>0</v>
      </c>
      <c r="D57" s="96">
        <f ca="1">IFERROR(__xludf.DUMMYFUNCTION("$C51*IMPORTRANGE(""https://docs.google.com/spreadsheets/d/1xsp01RMmkav9iTy39Zaj_7tE9677EGlOJ14KU9TZn7I/"",""1985-2003!H1018"")"),0)</f>
        <v>0</v>
      </c>
      <c r="E57" s="96">
        <f ca="1">IFERROR(__xludf.DUMMYFUNCTION("$C51*IMPORTRANGE(""https://docs.google.com/spreadsheets/d/1xsp01RMmkav9iTy39Zaj_7tE9677EGlOJ14KU9TZn7I/"",""1985-2003!T1018"")"),0)</f>
        <v>0</v>
      </c>
      <c r="F57" s="96">
        <f ca="1">IFERROR(__xludf.DUMMYFUNCTION("$C51*IMPORTRANGE(""https://docs.google.com/spreadsheets/d/1xsp01RMmkav9iTy39Zaj_7tE9677EGlOJ14KU9TZn7I/"",""1985-2003!AC1018"")"),0)</f>
        <v>0</v>
      </c>
      <c r="G57" s="126" t="s">
        <v>8</v>
      </c>
      <c r="H57" s="76"/>
      <c r="I57" s="76"/>
      <c r="J57" s="76"/>
      <c r="K57" s="77"/>
      <c r="L57" s="78"/>
      <c r="M57" s="79"/>
      <c r="N57" s="79"/>
      <c r="O57" s="79"/>
      <c r="P57" s="79"/>
      <c r="Q57" s="77"/>
      <c r="R57" s="76"/>
      <c r="S57" s="76"/>
      <c r="T57" s="76"/>
      <c r="U57" s="76"/>
      <c r="V57" s="76"/>
      <c r="W57" s="76"/>
      <c r="X57" s="76"/>
      <c r="Y57" s="76"/>
      <c r="Z57" s="76"/>
      <c r="AA57" s="80"/>
      <c r="AB57" s="80"/>
      <c r="AC57" s="80"/>
    </row>
    <row r="58" spans="1:29" ht="13.2" x14ac:dyDescent="0.25">
      <c r="A58" s="128" t="s">
        <v>86</v>
      </c>
      <c r="B58" s="97">
        <v>4</v>
      </c>
      <c r="C58" s="98">
        <f>714.2/1000</f>
        <v>0.71420000000000006</v>
      </c>
      <c r="D58" s="99">
        <f ca="1">IFERROR(__xludf.DUMMYFUNCTION("$C52*IMPORTRANGE(""https://docs.google.com/spreadsheets/d/1xsp01RMmkav9iTy39Zaj_7tE9677EGlOJ14KU9TZn7I/"",""1985-2003!H1040"")"),0.62149684)</f>
        <v>0.62149684000000005</v>
      </c>
      <c r="E58" s="99">
        <f ca="1">IFERROR(__xludf.DUMMYFUNCTION("$C52*IMPORTRANGE(""https://docs.google.com/spreadsheets/d/1xsp01RMmkav9iTy39Zaj_7tE9677EGlOJ14KU9TZn7I/"",""1985-2003!T1040"")"),0.40773678)</f>
        <v>0.40773678000000002</v>
      </c>
      <c r="F58" s="99">
        <f ca="1">IFERROR(__xludf.DUMMYFUNCTION("$C52*IMPORTRANGE(""https://docs.google.com/spreadsheets/d/1xsp01RMmkav9iTy39Zaj_7tE9677EGlOJ14KU9TZn7I/"",""1985-2003!AC1040"")"),90.831956)</f>
        <v>90.831956000000005</v>
      </c>
      <c r="G58" s="128" t="s">
        <v>8</v>
      </c>
      <c r="H58" s="76"/>
      <c r="I58" s="76"/>
      <c r="J58" s="76"/>
      <c r="K58" s="77"/>
      <c r="L58" s="78"/>
      <c r="M58" s="79"/>
      <c r="N58" s="79"/>
      <c r="O58" s="79"/>
      <c r="P58" s="79"/>
      <c r="Q58" s="77"/>
      <c r="R58" s="76"/>
      <c r="S58" s="76"/>
      <c r="T58" s="76"/>
      <c r="U58" s="76"/>
      <c r="V58" s="76"/>
      <c r="W58" s="76"/>
      <c r="X58" s="76"/>
      <c r="Y58" s="76"/>
      <c r="Z58" s="76"/>
      <c r="AA58" s="80"/>
      <c r="AB58" s="80"/>
      <c r="AC58" s="80"/>
    </row>
    <row r="59" spans="1:29" ht="13.2" x14ac:dyDescent="0.25">
      <c r="A59" s="126" t="s">
        <v>87</v>
      </c>
      <c r="B59" s="87">
        <v>1</v>
      </c>
      <c r="C59" s="88">
        <f>625/1000</f>
        <v>0.625</v>
      </c>
      <c r="D59" s="96">
        <f ca="1">IFERROR(__xludf.DUMMYFUNCTION("$C53*IMPORTRANGE(""https://docs.google.com/spreadsheets/d/1xsp01RMmkav9iTy39Zaj_7tE9677EGlOJ14KU9TZn7I/"",""1985-2003!H1063"")"),0.52184375)</f>
        <v>0.52184375000000005</v>
      </c>
      <c r="E59" s="96">
        <f ca="1">IFERROR(__xludf.DUMMYFUNCTION("$C53*IMPORTRANGE(""https://docs.google.com/spreadsheets/d/1xsp01RMmkav9iTy39Zaj_7tE9677EGlOJ14KU9TZn7I/"",""1985-2003!T1063"")"),0.34421875)</f>
        <v>0.34421875000000002</v>
      </c>
      <c r="F59" s="96">
        <f ca="1">IFERROR(__xludf.DUMMYFUNCTION("$C53*IMPORTRANGE(""https://docs.google.com/spreadsheets/d/1xsp01RMmkav9iTy39Zaj_7tE9677EGlOJ14KU9TZn7I/"",""1985-2003!AC1063"")"),76.6375)</f>
        <v>76.637500000000003</v>
      </c>
      <c r="G59" s="126" t="s">
        <v>8</v>
      </c>
      <c r="H59" s="76"/>
      <c r="I59" s="76"/>
      <c r="J59" s="76"/>
      <c r="K59" s="77"/>
      <c r="L59" s="78"/>
      <c r="M59" s="79"/>
      <c r="N59" s="79"/>
      <c r="O59" s="79"/>
      <c r="P59" s="79"/>
      <c r="Q59" s="77"/>
      <c r="R59" s="76"/>
      <c r="S59" s="76"/>
      <c r="T59" s="76"/>
      <c r="U59" s="76"/>
      <c r="V59" s="76"/>
      <c r="W59" s="76"/>
      <c r="X59" s="76"/>
      <c r="Y59" s="76"/>
      <c r="Z59" s="76"/>
      <c r="AA59" s="80"/>
      <c r="AB59" s="80"/>
      <c r="AC59" s="80"/>
    </row>
    <row r="60" spans="1:29" ht="13.2" x14ac:dyDescent="0.25">
      <c r="A60" s="129" t="s">
        <v>88</v>
      </c>
      <c r="B60" s="100">
        <v>8</v>
      </c>
      <c r="C60" s="101">
        <f>424.8/1000</f>
        <v>0.42480000000000001</v>
      </c>
      <c r="D60" s="102">
        <f ca="1">IFERROR(__xludf.DUMMYFUNCTION("$C54*IMPORTRANGE(""https://docs.google.com/spreadsheets/d/1xsp01RMmkav9iTy39Zaj_7tE9677EGlOJ14KU9TZn7I/"",""1985-2003!H1086"")"),0.35649216)</f>
        <v>0.35649216</v>
      </c>
      <c r="E60" s="102">
        <f ca="1">IFERROR(__xludf.DUMMYFUNCTION("$C54*IMPORTRANGE(""https://docs.google.com/spreadsheets/d/1xsp01RMmkav9iTy39Zaj_7tE9677EGlOJ14KU9TZn7I/"",""1985-2003!T1086"")"),0.232047)</f>
        <v>0.232047</v>
      </c>
      <c r="F60" s="102">
        <f ca="1">IFERROR(__xludf.DUMMYFUNCTION("$C54*IMPORTRANGE(""https://docs.google.com/spreadsheets/d/1xsp01RMmkav9iTy39Zaj_7tE9677EGlOJ14KU9TZn7I/"",""1985-2003!AC1086"")"),52.636968)</f>
        <v>52.636968000000003</v>
      </c>
      <c r="G60" s="129" t="s">
        <v>8</v>
      </c>
      <c r="H60" s="76"/>
      <c r="I60" s="76"/>
      <c r="J60" s="76"/>
      <c r="K60" s="77"/>
      <c r="L60" s="78"/>
      <c r="M60" s="79"/>
      <c r="N60" s="79"/>
      <c r="O60" s="79"/>
      <c r="P60" s="79"/>
      <c r="Q60" s="77"/>
      <c r="R60" s="76"/>
      <c r="S60" s="76"/>
      <c r="T60" s="76"/>
      <c r="U60" s="76"/>
      <c r="V60" s="76"/>
      <c r="W60" s="76"/>
      <c r="X60" s="76"/>
      <c r="Y60" s="76"/>
      <c r="Z60" s="76"/>
      <c r="AA60" s="80"/>
      <c r="AB60" s="80"/>
      <c r="AC60" s="80"/>
    </row>
    <row r="61" spans="1:29" ht="13.2" x14ac:dyDescent="0.25">
      <c r="A61" s="120">
        <v>1989</v>
      </c>
      <c r="B61" s="121"/>
      <c r="C61" s="122"/>
      <c r="D61" s="122"/>
      <c r="E61" s="122"/>
      <c r="F61" s="122"/>
      <c r="G61" s="123"/>
      <c r="H61" s="76"/>
      <c r="I61" s="76"/>
      <c r="J61" s="76"/>
      <c r="K61" s="77"/>
      <c r="L61" s="78"/>
      <c r="M61" s="79"/>
      <c r="N61" s="79"/>
      <c r="O61" s="79"/>
      <c r="P61" s="79"/>
      <c r="Q61" s="77"/>
      <c r="R61" s="76"/>
      <c r="S61" s="76"/>
      <c r="T61" s="76"/>
      <c r="U61" s="76"/>
      <c r="V61" s="76"/>
      <c r="W61" s="76"/>
      <c r="X61" s="76"/>
      <c r="Y61" s="76"/>
      <c r="Z61" s="76"/>
      <c r="AA61" s="80"/>
      <c r="AB61" s="80"/>
      <c r="AC61" s="80"/>
    </row>
    <row r="62" spans="1:29" ht="13.2" x14ac:dyDescent="0.25">
      <c r="A62" s="124" t="s">
        <v>89</v>
      </c>
      <c r="B62" s="84">
        <v>2</v>
      </c>
      <c r="C62" s="85">
        <f>416.4/1000</f>
        <v>0.41639999999999999</v>
      </c>
      <c r="D62" s="95">
        <f ca="1">IFERROR(__xludf.DUMMYFUNCTION("$C56*IMPORTRANGE(""https://docs.google.com/spreadsheets/d/1xsp01RMmkav9iTy39Zaj_7tE9677EGlOJ14KU9TZn7I/"",""1985-2003!H1110"")"),0.36543264)</f>
        <v>0.36543263999999998</v>
      </c>
      <c r="E62" s="95">
        <f ca="1">IFERROR(__xludf.DUMMYFUNCTION("$C56*IMPORTRANGE(""https://docs.google.com/spreadsheets/d/1xsp01RMmkav9iTy39Zaj_7tE9677EGlOJ14KU9TZn7I/"",""1985-2003!T1110"")"),0.23543256)</f>
        <v>0.23543256000000001</v>
      </c>
      <c r="F62" s="95">
        <f ca="1">IFERROR(__xludf.DUMMYFUNCTION("$C56*IMPORTRANGE(""https://docs.google.com/spreadsheets/d/1xsp01RMmkav9iTy39Zaj_7tE9677EGlOJ14KU9TZn7I/"",""1985-2003!AC1110"")"),53.02854)</f>
        <v>53.02854</v>
      </c>
      <c r="G62" s="124" t="s">
        <v>8</v>
      </c>
      <c r="H62" s="76"/>
      <c r="I62" s="76"/>
      <c r="J62" s="76"/>
      <c r="K62" s="77"/>
      <c r="L62" s="78"/>
      <c r="M62" s="79"/>
      <c r="N62" s="79"/>
      <c r="O62" s="79"/>
      <c r="P62" s="79"/>
      <c r="Q62" s="77"/>
      <c r="R62" s="76"/>
      <c r="S62" s="76"/>
      <c r="T62" s="76"/>
      <c r="U62" s="76"/>
      <c r="V62" s="76"/>
      <c r="W62" s="76"/>
      <c r="X62" s="76"/>
      <c r="Y62" s="76"/>
      <c r="Z62" s="76"/>
      <c r="AA62" s="80"/>
      <c r="AB62" s="80"/>
      <c r="AC62" s="80"/>
    </row>
    <row r="63" spans="1:29" ht="13.2" x14ac:dyDescent="0.25">
      <c r="A63" s="128" t="s">
        <v>90</v>
      </c>
      <c r="B63" s="97">
        <v>0</v>
      </c>
      <c r="C63" s="98">
        <v>0</v>
      </c>
      <c r="D63" s="99">
        <f ca="1">IFERROR(__xludf.DUMMYFUNCTION("$C57*IMPORTRANGE(""https://docs.google.com/spreadsheets/d/1xsp01RMmkav9iTy39Zaj_7tE9677EGlOJ14KU9TZn7I/"",""1985-2003!H1131"")"),0)</f>
        <v>0</v>
      </c>
      <c r="E63" s="99">
        <f ca="1">IFERROR(__xludf.DUMMYFUNCTION("$C57*IMPORTRANGE(""https://docs.google.com/spreadsheets/d/1xsp01RMmkav9iTy39Zaj_7tE9677EGlOJ14KU9TZn7I/"",""1985-2003!T1131"")"),0)</f>
        <v>0</v>
      </c>
      <c r="F63" s="99">
        <f ca="1">IFERROR(__xludf.DUMMYFUNCTION("$C57*IMPORTRANGE(""https://docs.google.com/spreadsheets/d/1xsp01RMmkav9iTy39Zaj_7tE9677EGlOJ14KU9TZn7I/"",""1985-2003!AC1131"")"),0)</f>
        <v>0</v>
      </c>
      <c r="G63" s="128" t="s">
        <v>8</v>
      </c>
      <c r="H63" s="76"/>
      <c r="I63" s="76"/>
      <c r="J63" s="76"/>
      <c r="K63" s="77"/>
      <c r="L63" s="78"/>
      <c r="M63" s="79"/>
      <c r="N63" s="79"/>
      <c r="O63" s="79"/>
      <c r="P63" s="79"/>
      <c r="Q63" s="77"/>
      <c r="R63" s="76"/>
      <c r="S63" s="76"/>
      <c r="T63" s="76"/>
      <c r="U63" s="76"/>
      <c r="V63" s="76"/>
      <c r="W63" s="76"/>
      <c r="X63" s="76"/>
      <c r="Y63" s="76"/>
      <c r="Z63" s="76"/>
      <c r="AA63" s="80"/>
      <c r="AB63" s="80"/>
      <c r="AC63" s="80"/>
    </row>
    <row r="64" spans="1:29" ht="13.2" x14ac:dyDescent="0.25">
      <c r="A64" s="126" t="s">
        <v>91</v>
      </c>
      <c r="B64" s="87">
        <v>1</v>
      </c>
      <c r="C64" s="88">
        <v>0</v>
      </c>
      <c r="D64" s="96">
        <f ca="1">IFERROR(__xludf.DUMMYFUNCTION("$C58*IMPORTRANGE(""https://docs.google.com/spreadsheets/d/1xsp01RMmkav9iTy39Zaj_7tE9677EGlOJ14KU9TZn7I/"",""1985-2003!H1155"")"),0)</f>
        <v>0</v>
      </c>
      <c r="E64" s="96">
        <f ca="1">IFERROR(__xludf.DUMMYFUNCTION("$C58*IMPORTRANGE(""https://docs.google.com/spreadsheets/d/1xsp01RMmkav9iTy39Zaj_7tE9677EGlOJ14KU9TZn7I/"",""1985-2003!T1155"")"),0)</f>
        <v>0</v>
      </c>
      <c r="F64" s="96">
        <f ca="1">IFERROR(__xludf.DUMMYFUNCTION("$C58*IMPORTRANGE(""https://docs.google.com/spreadsheets/d/1xsp01RMmkav9iTy39Zaj_7tE9677EGlOJ14KU9TZn7I/"",""1985-2003!AC1155"")"),0)</f>
        <v>0</v>
      </c>
      <c r="G64" s="126" t="s">
        <v>8</v>
      </c>
      <c r="H64" s="76"/>
      <c r="I64" s="76"/>
      <c r="J64" s="76"/>
      <c r="K64" s="77"/>
      <c r="L64" s="78"/>
      <c r="M64" s="79"/>
      <c r="N64" s="79"/>
      <c r="O64" s="79"/>
      <c r="P64" s="79"/>
      <c r="Q64" s="77"/>
      <c r="R64" s="76"/>
      <c r="S64" s="76"/>
      <c r="T64" s="76"/>
      <c r="U64" s="76"/>
      <c r="V64" s="76"/>
      <c r="W64" s="76"/>
      <c r="X64" s="76"/>
      <c r="Y64" s="76"/>
      <c r="Z64" s="76"/>
      <c r="AA64" s="80"/>
      <c r="AB64" s="80"/>
      <c r="AC64" s="80"/>
    </row>
    <row r="65" spans="1:29" ht="13.2" x14ac:dyDescent="0.25">
      <c r="A65" s="128" t="s">
        <v>92</v>
      </c>
      <c r="B65" s="97">
        <v>4</v>
      </c>
      <c r="C65" s="98">
        <f>755/1000</f>
        <v>0.755</v>
      </c>
      <c r="D65" s="99">
        <f ca="1">IFERROR(__xludf.DUMMYFUNCTION("$C59*IMPORTRANGE(""https://docs.google.com/spreadsheets/d/1xsp01RMmkav9iTy39Zaj_7tE9677EGlOJ14KU9TZn7I/"",""1985-2003!H1176"")"),0.67281825)</f>
        <v>0.67281824999999995</v>
      </c>
      <c r="E65" s="99">
        <f ca="1">IFERROR(__xludf.DUMMYFUNCTION("$C59*IMPORTRANGE(""https://docs.google.com/spreadsheets/d/1xsp01RMmkav9iTy39Zaj_7tE9677EGlOJ14KU9TZn7I/"",""1985-2003!T1176"")"),0.443638)</f>
        <v>0.44363799999999998</v>
      </c>
      <c r="F65" s="99">
        <f ca="1">IFERROR(__xludf.DUMMYFUNCTION("$C59*IMPORTRANGE(""https://docs.google.com/spreadsheets/d/1xsp01RMmkav9iTy39Zaj_7tE9677EGlOJ14KU9TZn7I/"",""1985-2003!AC1176"")"),99.656225)</f>
        <v>99.656225000000006</v>
      </c>
      <c r="G65" s="128" t="s">
        <v>8</v>
      </c>
      <c r="H65" s="76"/>
      <c r="I65" s="76"/>
      <c r="J65" s="76"/>
      <c r="K65" s="77"/>
      <c r="L65" s="78"/>
      <c r="M65" s="79"/>
      <c r="N65" s="79"/>
      <c r="O65" s="79"/>
      <c r="P65" s="79"/>
      <c r="Q65" s="77"/>
      <c r="R65" s="76"/>
      <c r="S65" s="76"/>
      <c r="T65" s="76"/>
      <c r="U65" s="76"/>
      <c r="V65" s="76"/>
      <c r="W65" s="76"/>
      <c r="X65" s="76"/>
      <c r="Y65" s="76"/>
      <c r="Z65" s="76"/>
      <c r="AA65" s="80"/>
      <c r="AB65" s="80"/>
      <c r="AC65" s="80"/>
    </row>
    <row r="66" spans="1:29" ht="13.2" x14ac:dyDescent="0.25">
      <c r="A66" s="126" t="s">
        <v>93</v>
      </c>
      <c r="B66" s="87">
        <v>2</v>
      </c>
      <c r="C66" s="88">
        <f>257.3/1000</f>
        <v>0.25730000000000003</v>
      </c>
      <c r="D66" s="96">
        <f ca="1">IFERROR(__xludf.DUMMYFUNCTION("$C60*IMPORTRANGE(""https://docs.google.com/spreadsheets/d/1xsp01RMmkav9iTy39Zaj_7tE9677EGlOJ14KU9TZn7I/"",""1985-2003!H1200"")"),0.23792531)</f>
        <v>0.23792531</v>
      </c>
      <c r="E66" s="96">
        <f ca="1">IFERROR(__xludf.DUMMYFUNCTION("$C60*IMPORTRANGE(""https://docs.google.com/spreadsheets/d/1xsp01RMmkav9iTy39Zaj_7tE9677EGlOJ14KU9TZn7I/"",""1985-2003!T1200"")"),0.15715884)</f>
        <v>0.15715883999999999</v>
      </c>
      <c r="F66" s="96">
        <f ca="1">IFERROR(__xludf.DUMMYFUNCTION("$C60*IMPORTRANGE(""https://docs.google.com/spreadsheets/d/1xsp01RMmkav9iTy39Zaj_7tE9677EGlOJ14KU9TZn7I/"",""1985-2003!AC1200"")"),35.286122)</f>
        <v>35.286121999999999</v>
      </c>
      <c r="G66" s="126" t="s">
        <v>8</v>
      </c>
      <c r="H66" s="76"/>
      <c r="I66" s="76"/>
      <c r="J66" s="76"/>
      <c r="K66" s="77"/>
      <c r="L66" s="78"/>
      <c r="M66" s="79"/>
      <c r="N66" s="79"/>
      <c r="O66" s="79"/>
      <c r="P66" s="79"/>
      <c r="Q66" s="77"/>
      <c r="R66" s="76"/>
      <c r="S66" s="76"/>
      <c r="T66" s="76"/>
      <c r="U66" s="76"/>
      <c r="V66" s="76"/>
      <c r="W66" s="76"/>
      <c r="X66" s="76"/>
      <c r="Y66" s="76"/>
      <c r="Z66" s="76"/>
      <c r="AA66" s="80"/>
      <c r="AB66" s="80"/>
      <c r="AC66" s="80"/>
    </row>
    <row r="67" spans="1:29" ht="13.2" x14ac:dyDescent="0.25">
      <c r="A67" s="128" t="s">
        <v>94</v>
      </c>
      <c r="B67" s="97">
        <v>4</v>
      </c>
      <c r="C67" s="98">
        <f>7009.7/1000</f>
        <v>7.0096999999999996</v>
      </c>
      <c r="D67" s="99">
        <f ca="1">IFERROR(__xludf.DUMMYFUNCTION("$C61*IMPORTRANGE(""https://docs.google.com/spreadsheets/d/1xsp01RMmkav9iTy39Zaj_7tE9677EGlOJ14KU9TZn7I/"",""1985-2003!H1223"")"),6.59752964)</f>
        <v>6.5975296400000003</v>
      </c>
      <c r="E67" s="99">
        <f ca="1">IFERROR(__xludf.DUMMYFUNCTION("$C61*IMPORTRANGE(""https://docs.google.com/spreadsheets/d/1xsp01RMmkav9iTy39Zaj_7tE9677EGlOJ14KU9TZn7I/"",""1985-2003!T1223"")"),4.507587585)</f>
        <v>4.5075875849999996</v>
      </c>
      <c r="F67" s="99">
        <f ca="1">IFERROR(__xludf.DUMMYFUNCTION("$C61*IMPORTRANGE(""https://docs.google.com/spreadsheets/d/1xsp01RMmkav9iTy39Zaj_7tE9677EGlOJ14KU9TZn7I/"",""1985-2003!AC1223"")"),1003.718943)</f>
        <v>1003.718943</v>
      </c>
      <c r="G67" s="128" t="s">
        <v>8</v>
      </c>
      <c r="H67" s="76"/>
      <c r="I67" s="76"/>
      <c r="J67" s="76"/>
      <c r="K67" s="77"/>
      <c r="L67" s="78"/>
      <c r="M67" s="79"/>
      <c r="N67" s="79"/>
      <c r="O67" s="79"/>
      <c r="P67" s="79"/>
      <c r="Q67" s="77"/>
      <c r="R67" s="76"/>
      <c r="S67" s="76"/>
      <c r="T67" s="76"/>
      <c r="U67" s="76"/>
      <c r="V67" s="76"/>
      <c r="W67" s="76"/>
      <c r="X67" s="76"/>
      <c r="Y67" s="76"/>
      <c r="Z67" s="76"/>
      <c r="AA67" s="80"/>
      <c r="AB67" s="80"/>
      <c r="AC67" s="80"/>
    </row>
    <row r="68" spans="1:29" ht="13.2" x14ac:dyDescent="0.25">
      <c r="A68" s="126" t="s">
        <v>95</v>
      </c>
      <c r="B68" s="87">
        <v>2</v>
      </c>
      <c r="C68" s="88">
        <f>1082.5/1000</f>
        <v>1.0825</v>
      </c>
      <c r="D68" s="96">
        <f ca="1">IFERROR(__xludf.DUMMYFUNCTION("$C62*IMPORTRANGE(""https://docs.google.com/spreadsheets/d/1xsp01RMmkav9iTy39Zaj_7tE9677EGlOJ14KU9TZn7I/"",""1985-2003!H1245"")"),0.9770645)</f>
        <v>0.9770645</v>
      </c>
      <c r="E68" s="96">
        <f ca="1">IFERROR(__xludf.DUMMYFUNCTION("$C62*IMPORTRANGE(""https://docs.google.com/spreadsheets/d/1xsp01RMmkav9iTy39Zaj_7tE9677EGlOJ14KU9TZn7I/"",""1985-2003!T1245"")"),0.66714475)</f>
        <v>0.66714474999999995</v>
      </c>
      <c r="F68" s="96">
        <f ca="1">IFERROR(__xludf.DUMMYFUNCTION("$C62*IMPORTRANGE(""https://docs.google.com/spreadsheets/d/1xsp01RMmkav9iTy39Zaj_7tE9677EGlOJ14KU9TZn7I/"",""1985-2003!AC1245"")"),152.372699999999)</f>
        <v>152.37269999999901</v>
      </c>
      <c r="G68" s="126" t="s">
        <v>8</v>
      </c>
      <c r="H68" s="76"/>
      <c r="I68" s="76"/>
      <c r="J68" s="76"/>
      <c r="K68" s="77"/>
      <c r="L68" s="78"/>
      <c r="M68" s="79"/>
      <c r="N68" s="79"/>
      <c r="O68" s="79"/>
      <c r="P68" s="79"/>
      <c r="Q68" s="77"/>
      <c r="R68" s="76"/>
      <c r="S68" s="76"/>
      <c r="T68" s="76"/>
      <c r="U68" s="76"/>
      <c r="V68" s="76"/>
      <c r="W68" s="76"/>
      <c r="X68" s="76"/>
      <c r="Y68" s="76"/>
      <c r="Z68" s="76"/>
      <c r="AA68" s="80"/>
      <c r="AB68" s="80"/>
      <c r="AC68" s="80"/>
    </row>
    <row r="69" spans="1:29" ht="13.2" x14ac:dyDescent="0.25">
      <c r="A69" s="128" t="s">
        <v>96</v>
      </c>
      <c r="B69" s="97">
        <v>2</v>
      </c>
      <c r="C69" s="98">
        <f>930.2/1000</f>
        <v>0.93020000000000003</v>
      </c>
      <c r="D69" s="99">
        <f ca="1">IFERROR(__xludf.DUMMYFUNCTION("$C63*IMPORTRANGE(""https://docs.google.com/spreadsheets/d/1xsp01RMmkav9iTy39Zaj_7tE9677EGlOJ14KU9TZn7I/"",""1985-2003!H1269"")"),0.8581095)</f>
        <v>0.85810949999999997</v>
      </c>
      <c r="E69" s="99">
        <f ca="1">IFERROR(__xludf.DUMMYFUNCTION("$C63*IMPORTRANGE(""https://docs.google.com/spreadsheets/d/1xsp01RMmkav9iTy39Zaj_7tE9677EGlOJ14KU9TZn7I/"",""1985-2003!T1269"")"),0.58816546)</f>
        <v>0.58816546000000003</v>
      </c>
      <c r="F69" s="99">
        <f ca="1">IFERROR(__xludf.DUMMYFUNCTION("$C63*IMPORTRANGE(""https://docs.google.com/spreadsheets/d/1xsp01RMmkav9iTy39Zaj_7tE9677EGlOJ14KU9TZn7I/"",""1985-2003!AC1269"")"),132.162816)</f>
        <v>132.16281599999999</v>
      </c>
      <c r="G69" s="128" t="s">
        <v>8</v>
      </c>
      <c r="H69" s="76"/>
      <c r="I69" s="76"/>
      <c r="J69" s="76"/>
      <c r="K69" s="77"/>
      <c r="L69" s="78"/>
      <c r="M69" s="79"/>
      <c r="N69" s="79"/>
      <c r="O69" s="79"/>
      <c r="P69" s="79"/>
      <c r="Q69" s="77"/>
      <c r="R69" s="76"/>
      <c r="S69" s="76"/>
      <c r="T69" s="76"/>
      <c r="U69" s="76"/>
      <c r="V69" s="76"/>
      <c r="W69" s="76"/>
      <c r="X69" s="76"/>
      <c r="Y69" s="76"/>
      <c r="Z69" s="76"/>
      <c r="AA69" s="80"/>
      <c r="AB69" s="80"/>
      <c r="AC69" s="80"/>
    </row>
    <row r="70" spans="1:29" ht="13.2" x14ac:dyDescent="0.25">
      <c r="A70" s="126" t="s">
        <v>97</v>
      </c>
      <c r="B70" s="87">
        <v>1</v>
      </c>
      <c r="C70" s="88">
        <f>1310/1000</f>
        <v>1.31</v>
      </c>
      <c r="D70" s="96">
        <f ca="1">IFERROR(__xludf.DUMMYFUNCTION("$C64*IMPORTRANGE(""https://docs.google.com/spreadsheets/d/1xsp01RMmkav9iTy39Zaj_7tE9677EGlOJ14KU9TZn7I/"",""1985-2003!H1291"")"),1.223278)</f>
        <v>1.2232780000000001</v>
      </c>
      <c r="E70" s="96">
        <f ca="1">IFERROR(__xludf.DUMMYFUNCTION("$C64*IMPORTRANGE(""https://docs.google.com/spreadsheets/d/1xsp01RMmkav9iTy39Zaj_7tE9677EGlOJ14KU9TZn7I/"",""1985-2003!T1291"")"),0.838269)</f>
        <v>0.83826900000000004</v>
      </c>
      <c r="F70" s="96">
        <f ca="1">IFERROR(__xludf.DUMMYFUNCTION("$C64*IMPORTRANGE(""https://docs.google.com/spreadsheets/d/1xsp01RMmkav9iTy39Zaj_7tE9677EGlOJ14KU9TZn7I/"",""1985-2003!AC1291"")"),191.2207)</f>
        <v>191.22069999999999</v>
      </c>
      <c r="G70" s="126" t="s">
        <v>8</v>
      </c>
      <c r="H70" s="76"/>
      <c r="I70" s="76"/>
      <c r="J70" s="76"/>
      <c r="K70" s="77"/>
      <c r="L70" s="78"/>
      <c r="M70" s="79"/>
      <c r="N70" s="79"/>
      <c r="O70" s="79"/>
      <c r="P70" s="79"/>
      <c r="Q70" s="77"/>
      <c r="R70" s="76"/>
      <c r="S70" s="76"/>
      <c r="T70" s="76"/>
      <c r="U70" s="76"/>
      <c r="V70" s="76"/>
      <c r="W70" s="76"/>
      <c r="X70" s="76"/>
      <c r="Y70" s="76"/>
      <c r="Z70" s="76"/>
      <c r="AA70" s="80"/>
      <c r="AB70" s="80"/>
      <c r="AC70" s="80"/>
    </row>
    <row r="71" spans="1:29" ht="13.2" x14ac:dyDescent="0.25">
      <c r="A71" s="128" t="s">
        <v>98</v>
      </c>
      <c r="B71" s="97">
        <v>2</v>
      </c>
      <c r="C71" s="98">
        <f>306.4/1000</f>
        <v>0.30639999999999995</v>
      </c>
      <c r="D71" s="99">
        <f ca="1">IFERROR(__xludf.DUMMYFUNCTION("$C65*IMPORTRANGE(""https://docs.google.com/spreadsheets/d/1xsp01RMmkav9iTy39Zaj_7tE9677EGlOJ14KU9TZn7I/"",""1985-2003!H1314"")"),0.272175119999999)</f>
        <v>0.27217511999999899</v>
      </c>
      <c r="E71" s="99">
        <f ca="1">IFERROR(__xludf.DUMMYFUNCTION("$C65*IMPORTRANGE(""https://docs.google.com/spreadsheets/d/1xsp01RMmkav9iTy39Zaj_7tE9677EGlOJ14KU9TZn7I/"",""1985-2003!T1314"")"),0.192924759999999)</f>
        <v>0.192924759999999</v>
      </c>
      <c r="F71" s="99">
        <f ca="1">IFERROR(__xludf.DUMMYFUNCTION("$C65*IMPORTRANGE(""https://docs.google.com/spreadsheets/d/1xsp01RMmkav9iTy39Zaj_7tE9677EGlOJ14KU9TZn7I/"",""1985-2003!AC1314"")"),43.5011399999999)</f>
        <v>43.5011399999999</v>
      </c>
      <c r="G71" s="128" t="s">
        <v>8</v>
      </c>
      <c r="H71" s="76"/>
      <c r="I71" s="76"/>
      <c r="J71" s="76"/>
      <c r="K71" s="77"/>
      <c r="L71" s="78"/>
      <c r="M71" s="79"/>
      <c r="N71" s="79"/>
      <c r="O71" s="79"/>
      <c r="P71" s="79"/>
      <c r="Q71" s="77"/>
      <c r="R71" s="76"/>
      <c r="S71" s="76"/>
      <c r="T71" s="76"/>
      <c r="U71" s="76"/>
      <c r="V71" s="76"/>
      <c r="W71" s="76"/>
      <c r="X71" s="76"/>
      <c r="Y71" s="76"/>
      <c r="Z71" s="76"/>
      <c r="AA71" s="80"/>
      <c r="AB71" s="80"/>
      <c r="AC71" s="80"/>
    </row>
    <row r="72" spans="1:29" ht="13.2" x14ac:dyDescent="0.25">
      <c r="A72" s="126" t="s">
        <v>99</v>
      </c>
      <c r="B72" s="87">
        <v>1</v>
      </c>
      <c r="C72" s="88">
        <v>0</v>
      </c>
      <c r="D72" s="96">
        <f ca="1">IFERROR(__xludf.DUMMYFUNCTION("$C66*IMPORTRANGE(""https://docs.google.com/spreadsheets/d/1xsp01RMmkav9iTy39Zaj_7tE9677EGlOJ14KU9TZn7I/"",""1985-2003!H1337"")"),0)</f>
        <v>0</v>
      </c>
      <c r="E72" s="96">
        <f ca="1">IFERROR(__xludf.DUMMYFUNCTION("$C66*IMPORTRANGE(""https://docs.google.com/spreadsheets/d/1xsp01RMmkav9iTy39Zaj_7tE9677EGlOJ14KU9TZn7I/"",""1985-2003!T1337"")"),0)</f>
        <v>0</v>
      </c>
      <c r="F72" s="96">
        <f ca="1">IFERROR(__xludf.DUMMYFUNCTION("$C66*IMPORTRANGE(""https://docs.google.com/spreadsheets/d/1xsp01RMmkav9iTy39Zaj_7tE9677EGlOJ14KU9TZn7I/"",""1985-2003!AC1337"")"),0)</f>
        <v>0</v>
      </c>
      <c r="G72" s="126" t="s">
        <v>8</v>
      </c>
      <c r="H72" s="76"/>
      <c r="I72" s="76"/>
      <c r="J72" s="76"/>
      <c r="K72" s="77"/>
      <c r="L72" s="78"/>
      <c r="M72" s="79"/>
      <c r="N72" s="79"/>
      <c r="O72" s="79"/>
      <c r="P72" s="79"/>
      <c r="Q72" s="77"/>
      <c r="R72" s="76"/>
      <c r="S72" s="76"/>
      <c r="T72" s="76"/>
      <c r="U72" s="76"/>
      <c r="V72" s="76"/>
      <c r="W72" s="76"/>
      <c r="X72" s="76"/>
      <c r="Y72" s="76"/>
      <c r="Z72" s="76"/>
      <c r="AA72" s="80"/>
      <c r="AB72" s="80"/>
      <c r="AC72" s="80"/>
    </row>
    <row r="73" spans="1:29" ht="13.2" x14ac:dyDescent="0.25">
      <c r="A73" s="129" t="s">
        <v>100</v>
      </c>
      <c r="B73" s="100">
        <v>4</v>
      </c>
      <c r="C73" s="101">
        <f>320.4/1000</f>
        <v>0.32039999999999996</v>
      </c>
      <c r="D73" s="102">
        <f ca="1">IFERROR(__xludf.DUMMYFUNCTION("$C67*IMPORTRANGE(""https://docs.google.com/spreadsheets/d/1xsp01RMmkav9iTy39Zaj_7tE9677EGlOJ14KU9TZn7I/"",""1985-2003!H1359"")"),0.26734176)</f>
        <v>0.26734175999999998</v>
      </c>
      <c r="E73" s="102">
        <f ca="1">IFERROR(__xludf.DUMMYFUNCTION("$C67*IMPORTRANGE(""https://docs.google.com/spreadsheets/d/1xsp01RMmkav9iTy39Zaj_7tE9677EGlOJ14KU9TZn7I/"",""1985-2003!T1359"")"),0.200089799999999)</f>
        <v>0.20008979999999901</v>
      </c>
      <c r="F73" s="102">
        <f ca="1">IFERROR(__xludf.DUMMYFUNCTION("$C67*IMPORTRANGE(""https://docs.google.com/spreadsheets/d/1xsp01RMmkav9iTy39Zaj_7tE9677EGlOJ14KU9TZn7I/"",""1985-2003!AC1359"")"),46.0575)</f>
        <v>46.057499999999997</v>
      </c>
      <c r="G73" s="129" t="s">
        <v>8</v>
      </c>
      <c r="H73" s="76"/>
      <c r="I73" s="76"/>
      <c r="J73" s="76"/>
      <c r="K73" s="77"/>
      <c r="L73" s="78"/>
      <c r="M73" s="79"/>
      <c r="N73" s="79"/>
      <c r="O73" s="79"/>
      <c r="P73" s="79"/>
      <c r="Q73" s="77"/>
      <c r="R73" s="76"/>
      <c r="S73" s="76"/>
      <c r="T73" s="76"/>
      <c r="U73" s="76"/>
      <c r="V73" s="76"/>
      <c r="W73" s="76"/>
      <c r="X73" s="76"/>
      <c r="Y73" s="76"/>
      <c r="Z73" s="76"/>
      <c r="AA73" s="80"/>
      <c r="AB73" s="80"/>
      <c r="AC73" s="80"/>
    </row>
    <row r="74" spans="1:29" ht="13.2" x14ac:dyDescent="0.25">
      <c r="A74" s="120">
        <v>1990</v>
      </c>
      <c r="B74" s="121"/>
      <c r="C74" s="122"/>
      <c r="D74" s="122"/>
      <c r="E74" s="122"/>
      <c r="F74" s="122"/>
      <c r="G74" s="123"/>
      <c r="H74" s="76"/>
      <c r="I74" s="76"/>
      <c r="J74" s="76"/>
      <c r="K74" s="77"/>
      <c r="L74" s="78"/>
      <c r="M74" s="79"/>
      <c r="N74" s="79"/>
      <c r="O74" s="79"/>
      <c r="P74" s="79"/>
      <c r="Q74" s="77"/>
      <c r="R74" s="76"/>
      <c r="S74" s="76"/>
      <c r="T74" s="76"/>
      <c r="U74" s="76"/>
      <c r="V74" s="76"/>
      <c r="W74" s="76"/>
      <c r="X74" s="76"/>
      <c r="Y74" s="76"/>
      <c r="Z74" s="76"/>
      <c r="AA74" s="80"/>
      <c r="AB74" s="80"/>
      <c r="AC74" s="80"/>
    </row>
    <row r="75" spans="1:29" ht="13.2" x14ac:dyDescent="0.25">
      <c r="A75" s="124" t="s">
        <v>101</v>
      </c>
      <c r="B75" s="84">
        <v>6</v>
      </c>
      <c r="C75" s="85">
        <f>1988/1000</f>
        <v>1.988</v>
      </c>
      <c r="D75" s="95">
        <f ca="1">IFERROR(__xludf.DUMMYFUNCTION("$C69*IMPORTRANGE(""https://docs.google.com/spreadsheets/d/1xsp01RMmkav9iTy39Zaj_7tE9677EGlOJ14KU9TZn7I/"",""1985-2003!H1383"")"),1.611274)</f>
        <v>1.6112740000000001</v>
      </c>
      <c r="E75" s="95">
        <f ca="1">IFERROR(__xludf.DUMMYFUNCTION("$C69*IMPORTRANGE(""https://docs.google.com/spreadsheets/d/1xsp01RMmkav9iTy39Zaj_7tE9677EGlOJ14KU9TZn7I/"",""1985-2003!T1383"")"),1.2019448)</f>
        <v>1.2019447999999999</v>
      </c>
      <c r="F75" s="95">
        <f ca="1">IFERROR(__xludf.DUMMYFUNCTION("$C69*IMPORTRANGE(""https://docs.google.com/spreadsheets/d/1xsp01RMmkav9iTy39Zaj_7tE9677EGlOJ14KU9TZn7I/"",""1985-2003!AC1383"")"),289.055199999999)</f>
        <v>289.05519999999899</v>
      </c>
      <c r="G75" s="124" t="s">
        <v>8</v>
      </c>
      <c r="H75" s="76"/>
      <c r="I75" s="76"/>
      <c r="J75" s="76"/>
      <c r="K75" s="77"/>
      <c r="L75" s="78"/>
      <c r="M75" s="79"/>
      <c r="N75" s="79"/>
      <c r="O75" s="79"/>
      <c r="P75" s="79"/>
      <c r="Q75" s="77"/>
      <c r="R75" s="76"/>
      <c r="S75" s="76"/>
      <c r="T75" s="76"/>
      <c r="U75" s="76"/>
      <c r="V75" s="76"/>
      <c r="W75" s="76"/>
      <c r="X75" s="76"/>
      <c r="Y75" s="76"/>
      <c r="Z75" s="76"/>
      <c r="AA75" s="80"/>
      <c r="AB75" s="80"/>
      <c r="AC75" s="80"/>
    </row>
    <row r="76" spans="1:29" ht="13.2" x14ac:dyDescent="0.25">
      <c r="A76" s="128" t="s">
        <v>102</v>
      </c>
      <c r="B76" s="97">
        <v>3</v>
      </c>
      <c r="C76" s="98">
        <f>2117.2/1000</f>
        <v>2.1172</v>
      </c>
      <c r="D76" s="99">
        <f ca="1">IFERROR(__xludf.DUMMYFUNCTION("$C70*IMPORTRANGE(""https://docs.google.com/spreadsheets/d/1xsp01RMmkav9iTy39Zaj_7tE9677EGlOJ14KU9TZn7I/"",""1985-2003!H1404"")"),1.70127605999999)</f>
        <v>1.7012760599999901</v>
      </c>
      <c r="E76" s="99">
        <f ca="1">IFERROR(__xludf.DUMMYFUNCTION("$C70*IMPORTRANGE(""https://docs.google.com/spreadsheets/d/1xsp01RMmkav9iTy39Zaj_7tE9677EGlOJ14KU9TZn7I/"",""1985-2003!T1404"")"),1.24904214)</f>
        <v>1.24904214</v>
      </c>
      <c r="F76" s="99">
        <f ca="1">IFERROR(__xludf.DUMMYFUNCTION("$C70*IMPORTRANGE(""https://docs.google.com/spreadsheets/d/1xsp01RMmkav9iTy39Zaj_7tE9677EGlOJ14KU9TZn7I/"",""1985-2003!T1404"")"),1.24904214)</f>
        <v>1.24904214</v>
      </c>
      <c r="G76" s="128" t="s">
        <v>8</v>
      </c>
      <c r="H76" s="76"/>
      <c r="I76" s="76"/>
      <c r="J76" s="76"/>
      <c r="K76" s="77"/>
      <c r="L76" s="78"/>
      <c r="M76" s="79"/>
      <c r="N76" s="79"/>
      <c r="O76" s="79"/>
      <c r="P76" s="79"/>
      <c r="Q76" s="77"/>
      <c r="R76" s="76"/>
      <c r="S76" s="76"/>
      <c r="T76" s="76"/>
      <c r="U76" s="76"/>
      <c r="V76" s="76"/>
      <c r="W76" s="76"/>
      <c r="X76" s="76"/>
      <c r="Y76" s="76"/>
      <c r="Z76" s="76"/>
      <c r="AA76" s="80"/>
      <c r="AB76" s="80"/>
      <c r="AC76" s="80"/>
    </row>
    <row r="77" spans="1:29" ht="13.2" x14ac:dyDescent="0.25">
      <c r="A77" s="126" t="s">
        <v>103</v>
      </c>
      <c r="B77" s="87">
        <v>3</v>
      </c>
      <c r="C77" s="88">
        <f>395.1/1000</f>
        <v>0.39510000000000001</v>
      </c>
      <c r="D77" s="96">
        <f ca="1">IFERROR(__xludf.DUMMYFUNCTION("$C71*IMPORTRANGE(""https://docs.google.com/spreadsheets/d/1xsp01RMmkav9iTy39Zaj_7tE9677EGlOJ14KU9TZn7I/"",""1985-2003!H1427"")"),0.322381845)</f>
        <v>0.322381845</v>
      </c>
      <c r="E77" s="96">
        <f ca="1">IFERROR(__xludf.DUMMYFUNCTION("$C71*IMPORTRANGE(""https://docs.google.com/spreadsheets/d/1xsp01RMmkav9iTy39Zaj_7tE9677EGlOJ14KU9TZn7I/"",""1985-2003!T1427"")"),0.24365817)</f>
        <v>0.24365817000000001</v>
      </c>
      <c r="F77" s="96">
        <f ca="1">IFERROR(__xludf.DUMMYFUNCTION("$C71*IMPORTRANGE(""https://docs.google.com/spreadsheets/d/1xsp01RMmkav9iTy39Zaj_7tE9677EGlOJ14KU9TZn7I/"",""1985-2003!AC1427"")"),60.335721)</f>
        <v>60.335720999999999</v>
      </c>
      <c r="G77" s="126" t="s">
        <v>8</v>
      </c>
      <c r="H77" s="76"/>
      <c r="I77" s="76"/>
      <c r="J77" s="76"/>
      <c r="K77" s="77"/>
      <c r="L77" s="78"/>
      <c r="M77" s="79"/>
      <c r="N77" s="79"/>
      <c r="O77" s="79"/>
      <c r="P77" s="79"/>
      <c r="Q77" s="77"/>
      <c r="R77" s="76"/>
      <c r="S77" s="76"/>
      <c r="T77" s="76"/>
      <c r="U77" s="76"/>
      <c r="V77" s="76"/>
      <c r="W77" s="76"/>
      <c r="X77" s="76"/>
      <c r="Y77" s="76"/>
      <c r="Z77" s="76"/>
      <c r="AA77" s="80"/>
      <c r="AB77" s="80"/>
      <c r="AC77" s="80"/>
    </row>
    <row r="78" spans="1:29" ht="13.2" x14ac:dyDescent="0.25">
      <c r="A78" s="128" t="s">
        <v>104</v>
      </c>
      <c r="B78" s="104">
        <v>0</v>
      </c>
      <c r="C78" s="98">
        <v>0</v>
      </c>
      <c r="D78" s="99">
        <f ca="1">IFERROR(__xludf.DUMMYFUNCTION("$C72*IMPORTRANGE(""https://docs.google.com/spreadsheets/d/1xsp01RMmkav9iTy39Zaj_7tE9677EGlOJ14KU9TZn7I/"",""1985-2003!H1449"")"),0)</f>
        <v>0</v>
      </c>
      <c r="E78" s="99">
        <f ca="1">IFERROR(__xludf.DUMMYFUNCTION("$C72*IMPORTRANGE(""https://docs.google.com/spreadsheets/d/1xsp01RMmkav9iTy39Zaj_7tE9677EGlOJ14KU9TZn7I/"",""1985-2003!T1449"")"),0)</f>
        <v>0</v>
      </c>
      <c r="F78" s="99">
        <f ca="1">IFERROR(__xludf.DUMMYFUNCTION("$C72*IMPORTRANGE(""https://docs.google.com/spreadsheets/d/1xsp01RMmkav9iTy39Zaj_7tE9677EGlOJ14KU9TZn7I/"",""1985-2003!AC1449"")"),0)</f>
        <v>0</v>
      </c>
      <c r="G78" s="128" t="s">
        <v>8</v>
      </c>
      <c r="H78" s="76"/>
      <c r="I78" s="76"/>
      <c r="J78" s="76"/>
      <c r="K78" s="77"/>
      <c r="L78" s="78"/>
      <c r="M78" s="79"/>
      <c r="N78" s="79"/>
      <c r="O78" s="79"/>
      <c r="P78" s="79"/>
      <c r="Q78" s="77"/>
      <c r="R78" s="76"/>
      <c r="S78" s="76"/>
      <c r="T78" s="76"/>
      <c r="U78" s="76"/>
      <c r="V78" s="76"/>
      <c r="W78" s="76"/>
      <c r="X78" s="76"/>
      <c r="Y78" s="76"/>
      <c r="Z78" s="76"/>
      <c r="AA78" s="80"/>
      <c r="AB78" s="80"/>
      <c r="AC78" s="80"/>
    </row>
    <row r="79" spans="1:29" ht="13.2" x14ac:dyDescent="0.25">
      <c r="A79" s="126" t="s">
        <v>105</v>
      </c>
      <c r="B79" s="87">
        <v>1</v>
      </c>
      <c r="C79" s="88">
        <v>0</v>
      </c>
      <c r="D79" s="96">
        <f ca="1">IFERROR(__xludf.DUMMYFUNCTION("$C73*IMPORTRANGE(""https://docs.google.com/spreadsheets/d/1xsp01RMmkav9iTy39Zaj_7tE9677EGlOJ14KU9TZn7I/"",""1985-2003!H1473"")"),0)</f>
        <v>0</v>
      </c>
      <c r="E79" s="96">
        <f ca="1">IFERROR(__xludf.DUMMYFUNCTION("$C73*IMPORTRANGE(""https://docs.google.com/spreadsheets/d/1xsp01RMmkav9iTy39Zaj_7tE9677EGlOJ14KU9TZn7I/"",""1985-2003!T1473"")"),0)</f>
        <v>0</v>
      </c>
      <c r="F79" s="96">
        <f ca="1">IFERROR(__xludf.DUMMYFUNCTION("$C73*IMPORTRANGE(""https://docs.google.com/spreadsheets/d/1xsp01RMmkav9iTy39Zaj_7tE9677EGlOJ14KU9TZn7I/"",""1985-2003!AC1473"")"),0)</f>
        <v>0</v>
      </c>
      <c r="G79" s="126" t="s">
        <v>8</v>
      </c>
      <c r="H79" s="76"/>
      <c r="I79" s="76"/>
      <c r="J79" s="76"/>
      <c r="K79" s="77"/>
      <c r="L79" s="78"/>
      <c r="M79" s="79"/>
      <c r="N79" s="79"/>
      <c r="O79" s="79"/>
      <c r="P79" s="79"/>
      <c r="Q79" s="77"/>
      <c r="R79" s="76"/>
      <c r="S79" s="76"/>
      <c r="T79" s="76"/>
      <c r="U79" s="76"/>
      <c r="V79" s="76"/>
      <c r="W79" s="76"/>
      <c r="X79" s="76"/>
      <c r="Y79" s="76"/>
      <c r="Z79" s="76"/>
      <c r="AA79" s="80"/>
      <c r="AB79" s="80"/>
      <c r="AC79" s="80"/>
    </row>
    <row r="80" spans="1:29" ht="13.2" x14ac:dyDescent="0.25">
      <c r="A80" s="128" t="s">
        <v>106</v>
      </c>
      <c r="B80" s="104">
        <v>4</v>
      </c>
      <c r="C80" s="98">
        <f>3326.2/1000</f>
        <v>3.3261999999999996</v>
      </c>
      <c r="D80" s="99">
        <f ca="1">IFERROR(__xludf.DUMMYFUNCTION("$C74*IMPORTRANGE(""https://docs.google.com/spreadsheets/d/1xsp01RMmkav9iTy39Zaj_7tE9677EGlOJ14KU9TZn7I/"",""1985-2003!H1495"")"),2.67293431999999)</f>
        <v>2.6729343199999902</v>
      </c>
      <c r="E80" s="99">
        <f ca="1">IFERROR(__xludf.DUMMYFUNCTION("$C74*IMPORTRANGE(""https://docs.google.com/spreadsheets/d/1xsp01RMmkav9iTy39Zaj_7tE9677EGlOJ14KU9TZn7I/"",""1985-2003!T1495"")"),1.94615961999999)</f>
        <v>1.94615961999999</v>
      </c>
      <c r="F80" s="99">
        <f ca="1">IFERROR(__xludf.DUMMYFUNCTION("$C74*IMPORTRANGE(""https://docs.google.com/spreadsheets/d/1xsp01RMmkav9iTy39Zaj_7tE9677EGlOJ14KU9TZn7I/"",""1985-2003!AC1495"")"),512.068489999999)</f>
        <v>512.06848999999897</v>
      </c>
      <c r="G80" s="128" t="s">
        <v>8</v>
      </c>
      <c r="H80" s="76"/>
      <c r="I80" s="76"/>
      <c r="J80" s="76"/>
      <c r="K80" s="77"/>
      <c r="L80" s="78"/>
      <c r="M80" s="79"/>
      <c r="N80" s="79"/>
      <c r="O80" s="79"/>
      <c r="P80" s="79"/>
      <c r="Q80" s="77"/>
      <c r="R80" s="76"/>
      <c r="S80" s="76"/>
      <c r="T80" s="76"/>
      <c r="U80" s="76"/>
      <c r="V80" s="76"/>
      <c r="W80" s="76"/>
      <c r="X80" s="76"/>
      <c r="Y80" s="76"/>
      <c r="Z80" s="76"/>
      <c r="AA80" s="80"/>
      <c r="AB80" s="80"/>
      <c r="AC80" s="80"/>
    </row>
    <row r="81" spans="1:29" ht="13.2" x14ac:dyDescent="0.25">
      <c r="A81" s="126" t="s">
        <v>107</v>
      </c>
      <c r="B81" s="87">
        <v>0</v>
      </c>
      <c r="C81" s="88">
        <v>0</v>
      </c>
      <c r="D81" s="96">
        <f ca="1">IFERROR(__xludf.DUMMYFUNCTION("$C75*IMPORTRANGE(""https://docs.google.com/spreadsheets/d/1xsp01RMmkav9iTy39Zaj_7tE9677EGlOJ14KU9TZn7I/"",""1985-2003!H1518"")"),0)</f>
        <v>0</v>
      </c>
      <c r="E81" s="96">
        <f ca="1">IFERROR(__xludf.DUMMYFUNCTION("$C75*IMPORTRANGE(""https://docs.google.com/spreadsheets/d/1xsp01RMmkav9iTy39Zaj_7tE9677EGlOJ14KU9TZn7I/"",""1985-2003!T1518"")"),0)</f>
        <v>0</v>
      </c>
      <c r="F81" s="96">
        <f ca="1">IFERROR(__xludf.DUMMYFUNCTION("$C75*IMPORTRANGE(""https://docs.google.com/spreadsheets/d/1xsp01RMmkav9iTy39Zaj_7tE9677EGlOJ14KU9TZn7I/"",""1985-2003!AC1518"")"),0)</f>
        <v>0</v>
      </c>
      <c r="G81" s="126" t="s">
        <v>8</v>
      </c>
      <c r="H81" s="76"/>
      <c r="I81" s="76"/>
      <c r="J81" s="76"/>
      <c r="K81" s="77"/>
      <c r="L81" s="78"/>
      <c r="M81" s="79"/>
      <c r="N81" s="79"/>
      <c r="O81" s="79"/>
      <c r="P81" s="79"/>
      <c r="Q81" s="77"/>
      <c r="R81" s="76"/>
      <c r="S81" s="76"/>
      <c r="T81" s="76"/>
      <c r="U81" s="76"/>
      <c r="V81" s="76"/>
      <c r="W81" s="76"/>
      <c r="X81" s="76"/>
      <c r="Y81" s="76"/>
      <c r="Z81" s="76"/>
      <c r="AA81" s="80"/>
      <c r="AB81" s="80"/>
      <c r="AC81" s="80"/>
    </row>
    <row r="82" spans="1:29" ht="13.2" x14ac:dyDescent="0.25">
      <c r="A82" s="128" t="s">
        <v>108</v>
      </c>
      <c r="B82" s="97">
        <v>0</v>
      </c>
      <c r="C82" s="98">
        <v>0</v>
      </c>
      <c r="D82" s="99">
        <f ca="1">IFERROR(__xludf.DUMMYFUNCTION("$C76*IMPORTRANGE(""https://docs.google.com/spreadsheets/d/1xsp01RMmkav9iTy39Zaj_7tE9677EGlOJ14KU9TZn7I/"",""1985-2003!H1542"")"),0)</f>
        <v>0</v>
      </c>
      <c r="E82" s="99">
        <f ca="1">IFERROR(__xludf.DUMMYFUNCTION("$C76*IMPORTRANGE(""https://docs.google.com/spreadsheets/d/1xsp01RMmkav9iTy39Zaj_7tE9677EGlOJ14KU9TZn7I/"",""1985-2003!T1542"")"),0)</f>
        <v>0</v>
      </c>
      <c r="F82" s="99">
        <f ca="1">IFERROR(__xludf.DUMMYFUNCTION("$C76*IMPORTRANGE(""https://docs.google.com/spreadsheets/d/1xsp01RMmkav9iTy39Zaj_7tE9677EGlOJ14KU9TZn7I/"",""1985-2003!AC1542"")"),0)</f>
        <v>0</v>
      </c>
      <c r="G82" s="128" t="s">
        <v>8</v>
      </c>
      <c r="H82" s="76"/>
      <c r="I82" s="76"/>
      <c r="J82" s="76"/>
      <c r="K82" s="77"/>
      <c r="L82" s="78"/>
      <c r="M82" s="79"/>
      <c r="N82" s="79"/>
      <c r="O82" s="79"/>
      <c r="P82" s="79"/>
      <c r="Q82" s="77"/>
      <c r="R82" s="76"/>
      <c r="S82" s="76"/>
      <c r="T82" s="76"/>
      <c r="U82" s="76"/>
      <c r="V82" s="76"/>
      <c r="W82" s="76"/>
      <c r="X82" s="76"/>
      <c r="Y82" s="76"/>
      <c r="Z82" s="76"/>
      <c r="AA82" s="80"/>
      <c r="AB82" s="80"/>
      <c r="AC82" s="80"/>
    </row>
    <row r="83" spans="1:29" ht="13.2" x14ac:dyDescent="0.25">
      <c r="A83" s="126" t="s">
        <v>109</v>
      </c>
      <c r="B83" s="87">
        <v>2</v>
      </c>
      <c r="C83" s="88">
        <f>395.2/1000</f>
        <v>0.3952</v>
      </c>
      <c r="D83" s="96">
        <f ca="1">IFERROR(__xludf.DUMMYFUNCTION("$C77*IMPORTRANGE(""https://docs.google.com/spreadsheets/d/1xsp01RMmkav9iTy39Zaj_7tE9677EGlOJ14KU9TZn7I/"",""1985-2003!H1563"")"),0.29558984)</f>
        <v>0.29558983999999999</v>
      </c>
      <c r="E83" s="96">
        <f ca="1">IFERROR(__xludf.DUMMYFUNCTION("$C77*IMPORTRANGE(""https://docs.google.com/spreadsheets/d/1xsp01RMmkav9iTy39Zaj_7tE9677EGlOJ14KU9TZn7I/"",""1985-2003!T1563"")"),0.210977519999999)</f>
        <v>0.210977519999999</v>
      </c>
      <c r="F83" s="96">
        <f ca="1">IFERROR(__xludf.DUMMYFUNCTION("$C77*IMPORTRANGE(""https://docs.google.com/spreadsheets/d/1xsp01RMmkav9iTy39Zaj_7tE9677EGlOJ14KU9TZn7I/"",""1985-2003!AC1563"")"),54.559336)</f>
        <v>54.559336000000002</v>
      </c>
      <c r="G83" s="126" t="s">
        <v>8</v>
      </c>
      <c r="H83" s="76"/>
      <c r="I83" s="76"/>
      <c r="J83" s="76"/>
      <c r="K83" s="77"/>
      <c r="L83" s="78"/>
      <c r="M83" s="79"/>
      <c r="N83" s="79"/>
      <c r="O83" s="79"/>
      <c r="P83" s="79"/>
      <c r="Q83" s="77"/>
      <c r="R83" s="76"/>
      <c r="S83" s="76"/>
      <c r="T83" s="76"/>
      <c r="U83" s="76"/>
      <c r="V83" s="76"/>
      <c r="W83" s="76"/>
      <c r="X83" s="76"/>
      <c r="Y83" s="76"/>
      <c r="Z83" s="76"/>
      <c r="AA83" s="80"/>
      <c r="AB83" s="80"/>
      <c r="AC83" s="80"/>
    </row>
    <row r="84" spans="1:29" ht="13.2" x14ac:dyDescent="0.25">
      <c r="A84" s="128" t="s">
        <v>110</v>
      </c>
      <c r="B84" s="97">
        <v>1</v>
      </c>
      <c r="C84" s="98">
        <v>0</v>
      </c>
      <c r="D84" s="99">
        <f ca="1">IFERROR(__xludf.DUMMYFUNCTION("$C78*IMPORTRANGE(""https://docs.google.com/spreadsheets/d/1xsp01RMmkav9iTy39Zaj_7tE9677EGlOJ14KU9TZn7I/"",""1985-2003!H1587"")"),0)</f>
        <v>0</v>
      </c>
      <c r="E84" s="99">
        <f ca="1">IFERROR(__xludf.DUMMYFUNCTION("$C78*IMPORTRANGE(""https://docs.google.com/spreadsheets/d/1xsp01RMmkav9iTy39Zaj_7tE9677EGlOJ14KU9TZn7I/"",""1985-2003!T1587"")"),0)</f>
        <v>0</v>
      </c>
      <c r="F84" s="99">
        <f ca="1">IFERROR(__xludf.DUMMYFUNCTION("$C78*IMPORTRANGE(""https://docs.google.com/spreadsheets/d/1xsp01RMmkav9iTy39Zaj_7tE9677EGlOJ14KU9TZn7I/"",""1985-2003!AC1587"")"),0)</f>
        <v>0</v>
      </c>
      <c r="G84" s="128" t="s">
        <v>8</v>
      </c>
      <c r="H84" s="76"/>
      <c r="I84" s="76"/>
      <c r="J84" s="76"/>
      <c r="K84" s="77"/>
      <c r="L84" s="78"/>
      <c r="M84" s="79"/>
      <c r="N84" s="79"/>
      <c r="O84" s="79"/>
      <c r="P84" s="79"/>
      <c r="Q84" s="77"/>
      <c r="R84" s="76"/>
      <c r="S84" s="76"/>
      <c r="T84" s="76"/>
      <c r="U84" s="76"/>
      <c r="V84" s="76"/>
      <c r="W84" s="76"/>
      <c r="X84" s="76"/>
      <c r="Y84" s="76"/>
      <c r="Z84" s="76"/>
      <c r="AA84" s="80"/>
      <c r="AB84" s="80"/>
      <c r="AC84" s="80"/>
    </row>
    <row r="85" spans="1:29" ht="13.2" x14ac:dyDescent="0.25">
      <c r="A85" s="126" t="s">
        <v>111</v>
      </c>
      <c r="B85" s="87">
        <v>0</v>
      </c>
      <c r="C85" s="88">
        <v>0</v>
      </c>
      <c r="D85" s="96">
        <f ca="1">IFERROR(__xludf.DUMMYFUNCTION("$C79*IMPORTRANGE(""https://docs.google.com/spreadsheets/d/1xsp01RMmkav9iTy39Zaj_7tE9677EGlOJ14KU9TZn7I/"",""1985-2003!H1610"")"),0)</f>
        <v>0</v>
      </c>
      <c r="E85" s="96">
        <f ca="1">IFERROR(__xludf.DUMMYFUNCTION("$C79*IMPORTRANGE(""https://docs.google.com/spreadsheets/d/1xsp01RMmkav9iTy39Zaj_7tE9677EGlOJ14KU9TZn7I/"",""1985-2003!T1610"")"),0)</f>
        <v>0</v>
      </c>
      <c r="F85" s="96">
        <f ca="1">IFERROR(__xludf.DUMMYFUNCTION("$C79*IMPORTRANGE(""https://docs.google.com/spreadsheets/d/1xsp01RMmkav9iTy39Zaj_7tE9677EGlOJ14KU9TZn7I/"",""1985-2003!AC1610"")"),0)</f>
        <v>0</v>
      </c>
      <c r="G85" s="126" t="s">
        <v>8</v>
      </c>
      <c r="H85" s="76"/>
      <c r="I85" s="76"/>
      <c r="J85" s="76"/>
      <c r="K85" s="77"/>
      <c r="L85" s="78"/>
      <c r="M85" s="79"/>
      <c r="N85" s="79"/>
      <c r="O85" s="79"/>
      <c r="P85" s="79"/>
      <c r="Q85" s="77"/>
      <c r="R85" s="76"/>
      <c r="S85" s="76"/>
      <c r="T85" s="76"/>
      <c r="U85" s="76"/>
      <c r="V85" s="76"/>
      <c r="W85" s="76"/>
      <c r="X85" s="76"/>
      <c r="Y85" s="76"/>
      <c r="Z85" s="76"/>
      <c r="AA85" s="80"/>
      <c r="AB85" s="80"/>
      <c r="AC85" s="80"/>
    </row>
    <row r="86" spans="1:29" ht="13.2" x14ac:dyDescent="0.25">
      <c r="A86" s="129" t="s">
        <v>112</v>
      </c>
      <c r="B86" s="100">
        <v>3</v>
      </c>
      <c r="C86" s="101">
        <v>0</v>
      </c>
      <c r="D86" s="102">
        <f ca="1">IFERROR(__xludf.DUMMYFUNCTION("$C80*IMPORTRANGE(""https://docs.google.com/spreadsheets/d/1xsp01RMmkav9iTy39Zaj_7tE9677EGlOJ14KU9TZn7I/"",""1985-2003!H1632"")"),0)</f>
        <v>0</v>
      </c>
      <c r="E86" s="102">
        <f ca="1">IFERROR(__xludf.DUMMYFUNCTION("$C80*IMPORTRANGE(""https://docs.google.com/spreadsheets/d/1xsp01RMmkav9iTy39Zaj_7tE9677EGlOJ14KU9TZn7I/"",""1985-2003!T1632"")"),0)</f>
        <v>0</v>
      </c>
      <c r="F86" s="102">
        <f ca="1">IFERROR(__xludf.DUMMYFUNCTION("$C80*IMPORTRANGE(""https://docs.google.com/spreadsheets/d/1xsp01RMmkav9iTy39Zaj_7tE9677EGlOJ14KU9TZn7I/"",""1985-2003!AC1632"")"),0)</f>
        <v>0</v>
      </c>
      <c r="G86" s="129" t="s">
        <v>8</v>
      </c>
      <c r="H86" s="76"/>
      <c r="I86" s="76"/>
      <c r="J86" s="76"/>
      <c r="K86" s="77"/>
      <c r="L86" s="78"/>
      <c r="M86" s="79"/>
      <c r="N86" s="79"/>
      <c r="O86" s="79"/>
      <c r="P86" s="79"/>
      <c r="Q86" s="77"/>
      <c r="R86" s="76"/>
      <c r="S86" s="76"/>
      <c r="T86" s="76"/>
      <c r="U86" s="76"/>
      <c r="V86" s="76"/>
      <c r="W86" s="76"/>
      <c r="X86" s="76"/>
      <c r="Y86" s="76"/>
      <c r="Z86" s="76"/>
      <c r="AA86" s="80"/>
      <c r="AB86" s="80"/>
      <c r="AC86" s="80"/>
    </row>
    <row r="87" spans="1:29" ht="13.2" x14ac:dyDescent="0.25">
      <c r="A87" s="120">
        <v>1991</v>
      </c>
      <c r="B87" s="121"/>
      <c r="C87" s="122"/>
      <c r="D87" s="122"/>
      <c r="E87" s="122"/>
      <c r="F87" s="122"/>
      <c r="G87" s="123"/>
      <c r="H87" s="76"/>
      <c r="I87" s="76"/>
      <c r="J87" s="76"/>
      <c r="K87" s="77"/>
      <c r="L87" s="78"/>
      <c r="M87" s="79"/>
      <c r="N87" s="79"/>
      <c r="O87" s="79"/>
      <c r="P87" s="79"/>
      <c r="Q87" s="77"/>
      <c r="R87" s="76"/>
      <c r="S87" s="76"/>
      <c r="T87" s="76"/>
      <c r="U87" s="76"/>
      <c r="V87" s="76"/>
      <c r="W87" s="76"/>
      <c r="X87" s="76"/>
      <c r="Y87" s="76"/>
      <c r="Z87" s="76"/>
      <c r="AA87" s="80"/>
      <c r="AB87" s="80"/>
      <c r="AC87" s="80"/>
    </row>
    <row r="88" spans="1:29" ht="13.2" x14ac:dyDescent="0.25">
      <c r="A88" s="124" t="s">
        <v>113</v>
      </c>
      <c r="B88" s="84">
        <v>3</v>
      </c>
      <c r="C88" s="85">
        <f>150.8/1000</f>
        <v>0.15080000000000002</v>
      </c>
      <c r="D88" s="95">
        <f ca="1">IFERROR(__xludf.DUMMYFUNCTION("$C82*IMPORTRANGE(""https://docs.google.com/spreadsheets/d/1xsp01RMmkav9iTy39Zaj_7tE9677EGlOJ14KU9TZn7I/"",""1985-2003!H1656"")"),0.10855338)</f>
        <v>0.10855338</v>
      </c>
      <c r="E88" s="95">
        <f ca="1">IFERROR(__xludf.DUMMYFUNCTION("$C82*IMPORTRANGE(""https://docs.google.com/spreadsheets/d/1xsp01RMmkav9iTy39Zaj_7tE9677EGlOJ14KU9TZn7I/"",""1985-2003!T1656"")"),0.07782788)</f>
        <v>7.7827880000000002E-2</v>
      </c>
      <c r="F88" s="95">
        <f ca="1">IFERROR(__xludf.DUMMYFUNCTION("$C82*IMPORTRANGE(""https://docs.google.com/spreadsheets/d/1xsp01RMmkav9iTy39Zaj_7tE9677EGlOJ14KU9TZn7I/"",""1985-2003!AC1656"")"),20.0187)</f>
        <v>20.018699999999999</v>
      </c>
      <c r="G88" s="124" t="s">
        <v>8</v>
      </c>
      <c r="H88" s="76"/>
      <c r="I88" s="76"/>
      <c r="J88" s="76"/>
      <c r="K88" s="77"/>
      <c r="L88" s="78"/>
      <c r="M88" s="79"/>
      <c r="N88" s="79"/>
      <c r="O88" s="79"/>
      <c r="P88" s="79"/>
      <c r="Q88" s="77"/>
      <c r="R88" s="76"/>
      <c r="S88" s="76"/>
      <c r="T88" s="76"/>
      <c r="U88" s="76"/>
      <c r="V88" s="76"/>
      <c r="W88" s="76"/>
      <c r="X88" s="76"/>
      <c r="Y88" s="76"/>
      <c r="Z88" s="76"/>
      <c r="AA88" s="80"/>
      <c r="AB88" s="80"/>
      <c r="AC88" s="80"/>
    </row>
    <row r="89" spans="1:29" ht="13.2" x14ac:dyDescent="0.25">
      <c r="A89" s="128" t="s">
        <v>114</v>
      </c>
      <c r="B89" s="97">
        <v>3</v>
      </c>
      <c r="C89" s="98">
        <f>793.8/1000</f>
        <v>0.79379999999999995</v>
      </c>
      <c r="D89" s="99">
        <f ca="1">IFERROR(__xludf.DUMMYFUNCTION("$C83*IMPORTRANGE(""https://docs.google.com/spreadsheets/d/1xsp01RMmkav9iTy39Zaj_7tE9677EGlOJ14KU9TZn7I/"",""1985-2003!H1677"")"),0.5600259)</f>
        <v>0.56002589999999997</v>
      </c>
      <c r="E89" s="99">
        <f ca="1">IFERROR(__xludf.DUMMYFUNCTION("$C83*IMPORTRANGE(""https://docs.google.com/spreadsheets/d/1xsp01RMmkav9iTy39Zaj_7tE9677EGlOJ14KU9TZn7I/"",""1985-2003!T1677"")"),0.401980319999999)</f>
        <v>0.401980319999999</v>
      </c>
      <c r="F89" s="99">
        <f ca="1">IFERROR(__xludf.DUMMYFUNCTION("$C83*IMPORTRANGE(""https://docs.google.com/spreadsheets/d/1xsp01RMmkav9iTy39Zaj_7tE9677EGlOJ14KU9TZn7I/"",""1985-2003!AC1677"")"),103.642496999999)</f>
        <v>103.642496999999</v>
      </c>
      <c r="G89" s="128" t="s">
        <v>8</v>
      </c>
      <c r="H89" s="76"/>
      <c r="I89" s="76"/>
      <c r="J89" s="76"/>
      <c r="K89" s="77"/>
      <c r="L89" s="78"/>
      <c r="M89" s="79"/>
      <c r="N89" s="79"/>
      <c r="O89" s="79"/>
      <c r="P89" s="79"/>
      <c r="Q89" s="77"/>
      <c r="R89" s="76"/>
      <c r="S89" s="76"/>
      <c r="T89" s="76"/>
      <c r="U89" s="76"/>
      <c r="V89" s="76"/>
      <c r="W89" s="76"/>
      <c r="X89" s="76"/>
      <c r="Y89" s="76"/>
      <c r="Z89" s="76"/>
      <c r="AA89" s="80"/>
      <c r="AB89" s="80"/>
      <c r="AC89" s="80"/>
    </row>
    <row r="90" spans="1:29" ht="13.2" x14ac:dyDescent="0.25">
      <c r="A90" s="126" t="s">
        <v>115</v>
      </c>
      <c r="B90" s="87">
        <v>0</v>
      </c>
      <c r="C90" s="88">
        <v>0</v>
      </c>
      <c r="D90" s="96">
        <f ca="1">IFERROR(__xludf.DUMMYFUNCTION("$C84*IMPORTRANGE(""https://docs.google.com/spreadsheets/d/1xsp01RMmkav9iTy39Zaj_7tE9677EGlOJ14KU9TZn7I/"",""1985-2003!H1699"")"),0)</f>
        <v>0</v>
      </c>
      <c r="E90" s="96">
        <f ca="1">IFERROR(__xludf.DUMMYFUNCTION("$C84*IMPORTRANGE(""https://docs.google.com/spreadsheets/d/1xsp01RMmkav9iTy39Zaj_7tE9677EGlOJ14KU9TZn7I/"",""1985-2003!T1699"")"),0)</f>
        <v>0</v>
      </c>
      <c r="F90" s="96">
        <f ca="1">IFERROR(__xludf.DUMMYFUNCTION("$C84*IMPORTRANGE(""https://docs.google.com/spreadsheets/d/1xsp01RMmkav9iTy39Zaj_7tE9677EGlOJ14KU9TZn7I/"",""1985-2003!AC1699"")"),0)</f>
        <v>0</v>
      </c>
      <c r="G90" s="126" t="s">
        <v>8</v>
      </c>
      <c r="H90" s="76"/>
      <c r="I90" s="76"/>
      <c r="J90" s="76"/>
      <c r="K90" s="77"/>
      <c r="L90" s="78"/>
      <c r="M90" s="79"/>
      <c r="N90" s="79"/>
      <c r="O90" s="79"/>
      <c r="P90" s="79"/>
      <c r="Q90" s="77"/>
      <c r="R90" s="76"/>
      <c r="S90" s="76"/>
      <c r="T90" s="76"/>
      <c r="U90" s="76"/>
      <c r="V90" s="76"/>
      <c r="W90" s="76"/>
      <c r="X90" s="76"/>
      <c r="Y90" s="76"/>
      <c r="Z90" s="76"/>
      <c r="AA90" s="80"/>
      <c r="AB90" s="80"/>
      <c r="AC90" s="80"/>
    </row>
    <row r="91" spans="1:29" ht="13.2" x14ac:dyDescent="0.25">
      <c r="A91" s="128" t="s">
        <v>116</v>
      </c>
      <c r="B91" s="97">
        <v>1</v>
      </c>
      <c r="C91" s="98">
        <v>0</v>
      </c>
      <c r="D91" s="99">
        <f ca="1">IFERROR(__xludf.DUMMYFUNCTION("$C85*IMPORTRANGE(""https://docs.google.com/spreadsheets/d/1xsp01RMmkav9iTy39Zaj_7tE9677EGlOJ14KU9TZn7I/"",""1985-2003!H1722"")"),0)</f>
        <v>0</v>
      </c>
      <c r="E91" s="99">
        <f ca="1">IFERROR(__xludf.DUMMYFUNCTION("$C85*IMPORTRANGE(""https://docs.google.com/spreadsheets/d/1xsp01RMmkav9iTy39Zaj_7tE9677EGlOJ14KU9TZn7I/"",""1985-2003!T1722"")"),0)</f>
        <v>0</v>
      </c>
      <c r="F91" s="99">
        <f ca="1">IFERROR(__xludf.DUMMYFUNCTION("$C85*IMPORTRANGE(""https://docs.google.com/spreadsheets/d/1xsp01RMmkav9iTy39Zaj_7tE9677EGlOJ14KU9TZn7I/"",""1985-2003!AC1722"")"),0)</f>
        <v>0</v>
      </c>
      <c r="G91" s="128" t="s">
        <v>8</v>
      </c>
      <c r="H91" s="76"/>
      <c r="I91" s="76"/>
      <c r="J91" s="76"/>
      <c r="K91" s="77"/>
      <c r="L91" s="78"/>
      <c r="M91" s="79"/>
      <c r="N91" s="79"/>
      <c r="O91" s="79"/>
      <c r="P91" s="79"/>
      <c r="Q91" s="77"/>
      <c r="R91" s="76"/>
      <c r="S91" s="76"/>
      <c r="T91" s="76"/>
      <c r="U91" s="76"/>
      <c r="V91" s="76"/>
      <c r="W91" s="76"/>
      <c r="X91" s="76"/>
      <c r="Y91" s="76"/>
      <c r="Z91" s="76"/>
      <c r="AA91" s="80"/>
      <c r="AB91" s="80"/>
      <c r="AC91" s="80"/>
    </row>
    <row r="92" spans="1:29" ht="13.2" x14ac:dyDescent="0.25">
      <c r="A92" s="126" t="s">
        <v>117</v>
      </c>
      <c r="B92" s="87">
        <v>2</v>
      </c>
      <c r="C92" s="88">
        <f>186.5/1000</f>
        <v>0.1865</v>
      </c>
      <c r="D92" s="96">
        <f ca="1">IFERROR(__xludf.DUMMYFUNCTION("$C86*IMPORTRANGE(""https://docs.google.com/spreadsheets/d/1xsp01RMmkav9iTy39Zaj_7tE9677EGlOJ14KU9TZn7I/"",""1985-2003!H1746"")"),0.15317245)</f>
        <v>0.15317244999999999</v>
      </c>
      <c r="E92" s="96">
        <f ca="1">IFERROR(__xludf.DUMMYFUNCTION("$C86*IMPORTRANGE(""https://docs.google.com/spreadsheets/d/1xsp01RMmkav9iTy39Zaj_7tE9677EGlOJ14KU9TZn7I/"",""1985-2003!T1746"")"),0.108169999999999)</f>
        <v>0.108169999999999</v>
      </c>
      <c r="F92" s="96">
        <f ca="1">IFERROR(__xludf.DUMMYFUNCTION("$C86*IMPORTRANGE(""https://docs.google.com/spreadsheets/d/1xsp01RMmkav9iTy39Zaj_7tE9677EGlOJ14KU9TZn7I/"",""1985-2003!AC1746"")"),25.761245)</f>
        <v>25.761244999999999</v>
      </c>
      <c r="G92" s="126" t="s">
        <v>8</v>
      </c>
      <c r="H92" s="76"/>
      <c r="I92" s="76"/>
      <c r="J92" s="76"/>
      <c r="K92" s="77"/>
      <c r="L92" s="78"/>
      <c r="M92" s="79"/>
      <c r="N92" s="79"/>
      <c r="O92" s="79"/>
      <c r="P92" s="79"/>
      <c r="Q92" s="77"/>
      <c r="R92" s="76"/>
      <c r="S92" s="76"/>
      <c r="T92" s="76"/>
      <c r="U92" s="76"/>
      <c r="V92" s="76"/>
      <c r="W92" s="76"/>
      <c r="X92" s="76"/>
      <c r="Y92" s="76"/>
      <c r="Z92" s="76"/>
      <c r="AA92" s="80"/>
      <c r="AB92" s="80"/>
      <c r="AC92" s="80"/>
    </row>
    <row r="93" spans="1:29" ht="13.2" x14ac:dyDescent="0.25">
      <c r="A93" s="128" t="s">
        <v>118</v>
      </c>
      <c r="B93" s="97">
        <v>4</v>
      </c>
      <c r="C93" s="98">
        <f>23/1000</f>
        <v>2.3E-2</v>
      </c>
      <c r="D93" s="99">
        <f ca="1">IFERROR(__xludf.DUMMYFUNCTION("$C87*IMPORTRANGE(""https://docs.google.com/spreadsheets/d/1xsp01RMmkav9iTy39Zaj_7tE9677EGlOJ14KU9TZn7I/"",""1985-2003!H1767"")"),0.01967305)</f>
        <v>1.9673050000000001E-2</v>
      </c>
      <c r="E93" s="99">
        <f ca="1">IFERROR(__xludf.DUMMYFUNCTION("$C87*IMPORTRANGE(""https://docs.google.com/spreadsheets/d/1xsp01RMmkav9iTy39Zaj_7tE9677EGlOJ14KU9TZn7I/"",""1985-2003!T1767"")"),0.0140299999999999)</f>
        <v>1.40299999999999E-2</v>
      </c>
      <c r="F93" s="99">
        <f ca="1">IFERROR(__xludf.DUMMYFUNCTION("$C87*IMPORTRANGE(""https://docs.google.com/spreadsheets/d/1xsp01RMmkav9iTy39Zaj_7tE9677EGlOJ14KU9TZn7I/"",""1985-2003!AC1767"")"),3.20159999999999)</f>
        <v>3.2015999999999898</v>
      </c>
      <c r="G93" s="128" t="s">
        <v>8</v>
      </c>
      <c r="H93" s="76"/>
      <c r="I93" s="76"/>
      <c r="J93" s="76"/>
      <c r="K93" s="77"/>
      <c r="L93" s="78"/>
      <c r="M93" s="79"/>
      <c r="N93" s="79"/>
      <c r="O93" s="79"/>
      <c r="P93" s="79"/>
      <c r="Q93" s="77"/>
      <c r="R93" s="76"/>
      <c r="S93" s="76"/>
      <c r="T93" s="76"/>
      <c r="U93" s="76"/>
      <c r="V93" s="76"/>
      <c r="W93" s="76"/>
      <c r="X93" s="76"/>
      <c r="Y93" s="76"/>
      <c r="Z93" s="76"/>
      <c r="AA93" s="80"/>
      <c r="AB93" s="80"/>
      <c r="AC93" s="80"/>
    </row>
    <row r="94" spans="1:29" ht="13.2" x14ac:dyDescent="0.25">
      <c r="A94" s="126" t="s">
        <v>119</v>
      </c>
      <c r="B94" s="87">
        <v>3</v>
      </c>
      <c r="C94" s="88">
        <f>51.2/1000</f>
        <v>5.1200000000000002E-2</v>
      </c>
      <c r="D94" s="96">
        <f ca="1">IFERROR(__xludf.DUMMYFUNCTION("$C88*IMPORTRANGE(""https://docs.google.com/spreadsheets/d/1xsp01RMmkav9iTy39Zaj_7tE9677EGlOJ14KU9TZn7I/"",""1985-2003!H1791"")"),0.04386816)</f>
        <v>4.3868160000000003E-2</v>
      </c>
      <c r="E94" s="96">
        <f ca="1">IFERROR(__xludf.DUMMYFUNCTION("$C88*IMPORTRANGE(""https://docs.google.com/spreadsheets/d/1xsp01RMmkav9iTy39Zaj_7tE9677EGlOJ14KU9TZn7I/"",""1985-2003!T1791"")"),0.03106816)</f>
        <v>3.1068160000000001E-2</v>
      </c>
      <c r="F94" s="96">
        <f ca="1">IFERROR(__xludf.DUMMYFUNCTION("$C88*IMPORTRANGE(""https://docs.google.com/spreadsheets/d/1xsp01RMmkav9iTy39Zaj_7tE9677EGlOJ14KU9TZn7I/"",""1985-2003!AC1791"")"),7.05536)</f>
        <v>7.0553600000000003</v>
      </c>
      <c r="G94" s="126" t="s">
        <v>8</v>
      </c>
      <c r="H94" s="76"/>
      <c r="I94" s="76"/>
      <c r="J94" s="76"/>
      <c r="K94" s="77"/>
      <c r="L94" s="78"/>
      <c r="M94" s="79"/>
      <c r="N94" s="79"/>
      <c r="O94" s="79"/>
      <c r="P94" s="79"/>
      <c r="Q94" s="77"/>
      <c r="R94" s="76"/>
      <c r="S94" s="76"/>
      <c r="T94" s="76"/>
      <c r="U94" s="76"/>
      <c r="V94" s="76"/>
      <c r="W94" s="76"/>
      <c r="X94" s="76"/>
      <c r="Y94" s="76"/>
      <c r="Z94" s="76"/>
      <c r="AA94" s="80"/>
      <c r="AB94" s="80"/>
      <c r="AC94" s="80"/>
    </row>
    <row r="95" spans="1:29" ht="13.2" x14ac:dyDescent="0.25">
      <c r="A95" s="128" t="s">
        <v>120</v>
      </c>
      <c r="B95" s="97">
        <v>0</v>
      </c>
      <c r="C95" s="98">
        <v>0</v>
      </c>
      <c r="D95" s="99">
        <f ca="1">IFERROR(__xludf.DUMMYFUNCTION("$C89*IMPORTRANGE(""https://docs.google.com/spreadsheets/d/1xsp01RMmkav9iTy39Zaj_7tE9677EGlOJ14KU9TZn7I/"",""1985-2003!H1814"")"),0)</f>
        <v>0</v>
      </c>
      <c r="E95" s="99">
        <f ca="1">IFERROR(__xludf.DUMMYFUNCTION("$C89*IMPORTRANGE(""https://docs.google.com/spreadsheets/d/1xsp01RMmkav9iTy39Zaj_7tE9677EGlOJ14KU9TZn7I/"",""1985-2003!T1814"")"),0)</f>
        <v>0</v>
      </c>
      <c r="F95" s="99">
        <f ca="1">IFERROR(__xludf.DUMMYFUNCTION("$C89*IMPORTRANGE(""https://docs.google.com/spreadsheets/d/1xsp01RMmkav9iTy39Zaj_7tE9677EGlOJ14KU9TZn7I/"",""1985-2003!AC1814"")"),0)</f>
        <v>0</v>
      </c>
      <c r="G95" s="128" t="s">
        <v>8</v>
      </c>
      <c r="H95" s="76"/>
      <c r="I95" s="76"/>
      <c r="J95" s="76"/>
      <c r="K95" s="77"/>
      <c r="L95" s="78"/>
      <c r="M95" s="79"/>
      <c r="N95" s="79"/>
      <c r="O95" s="79"/>
      <c r="P95" s="79"/>
      <c r="Q95" s="77"/>
      <c r="R95" s="76"/>
      <c r="S95" s="76"/>
      <c r="T95" s="76"/>
      <c r="U95" s="76"/>
      <c r="V95" s="76"/>
      <c r="W95" s="76"/>
      <c r="X95" s="76"/>
      <c r="Y95" s="76"/>
      <c r="Z95" s="76"/>
      <c r="AA95" s="80"/>
      <c r="AB95" s="80"/>
      <c r="AC95" s="80"/>
    </row>
    <row r="96" spans="1:29" ht="13.2" x14ac:dyDescent="0.25">
      <c r="A96" s="126" t="s">
        <v>121</v>
      </c>
      <c r="B96" s="87">
        <v>1</v>
      </c>
      <c r="C96" s="88">
        <f>78.8/1000</f>
        <v>7.8799999999999995E-2</v>
      </c>
      <c r="D96" s="96">
        <f ca="1">IFERROR(__xludf.DUMMYFUNCTION("$C90*IMPORTRANGE(""https://docs.google.com/spreadsheets/d/1xsp01RMmkav9iTy39Zaj_7tE9677EGlOJ14KU9TZn7I/"",""1985-2003!H1836"")"),0.063631)</f>
        <v>6.3630999999999993E-2</v>
      </c>
      <c r="E96" s="96">
        <f ca="1">IFERROR(__xludf.DUMMYFUNCTION("$C90*IMPORTRANGE(""https://docs.google.com/spreadsheets/d/1xsp01RMmkav9iTy39Zaj_7tE9677EGlOJ14KU9TZn7I/"",""1985-2003!T1836"")"),0.04553064)</f>
        <v>4.5530639999999997E-2</v>
      </c>
      <c r="F96" s="96">
        <f ca="1">IFERROR(__xludf.DUMMYFUNCTION("$C90*IMPORTRANGE(""https://docs.google.com/spreadsheets/d/1xsp01RMmkav9iTy39Zaj_7tE9677EGlOJ14KU9TZn7I/"",""1985-2003!AC1836"")"),10.5765359999999)</f>
        <v>10.5765359999999</v>
      </c>
      <c r="G96" s="126" t="s">
        <v>8</v>
      </c>
      <c r="H96" s="76"/>
      <c r="I96" s="76"/>
      <c r="J96" s="76"/>
      <c r="K96" s="77"/>
      <c r="L96" s="78"/>
      <c r="M96" s="79"/>
      <c r="N96" s="79"/>
      <c r="O96" s="79"/>
      <c r="P96" s="79"/>
      <c r="Q96" s="77"/>
      <c r="R96" s="76"/>
      <c r="S96" s="76"/>
      <c r="T96" s="76"/>
      <c r="U96" s="76"/>
      <c r="V96" s="76"/>
      <c r="W96" s="76"/>
      <c r="X96" s="76"/>
      <c r="Y96" s="76"/>
      <c r="Z96" s="76"/>
      <c r="AA96" s="80"/>
      <c r="AB96" s="80"/>
      <c r="AC96" s="80"/>
    </row>
    <row r="97" spans="1:29" ht="13.2" x14ac:dyDescent="0.25">
      <c r="A97" s="128" t="s">
        <v>122</v>
      </c>
      <c r="B97" s="97">
        <v>1</v>
      </c>
      <c r="C97" s="98">
        <v>0</v>
      </c>
      <c r="D97" s="99">
        <f ca="1">IFERROR(__xludf.DUMMYFUNCTION("$C91*IMPORTRANGE(""https://docs.google.com/spreadsheets/d/1xsp01RMmkav9iTy39Zaj_7tE9677EGlOJ14KU9TZn7I/"",""1985-2003!H1860"")"),0)</f>
        <v>0</v>
      </c>
      <c r="E97" s="99">
        <f ca="1">IFERROR(__xludf.DUMMYFUNCTION("$C91*IMPORTRANGE(""https://docs.google.com/spreadsheets/d/1xsp01RMmkav9iTy39Zaj_7tE9677EGlOJ14KU9TZn7I/"",""1985-2003!T1860"")"),0)</f>
        <v>0</v>
      </c>
      <c r="F97" s="99">
        <f ca="1">IFERROR(__xludf.DUMMYFUNCTION("$C91*IMPORTRANGE(""https://docs.google.com/spreadsheets/d/1xsp01RMmkav9iTy39Zaj_7tE9677EGlOJ14KU9TZn7I/"",""1985-2003!AC1860"")"),0)</f>
        <v>0</v>
      </c>
      <c r="G97" s="128" t="s">
        <v>8</v>
      </c>
      <c r="H97" s="76"/>
      <c r="I97" s="76"/>
      <c r="J97" s="76"/>
      <c r="K97" s="77"/>
      <c r="L97" s="78"/>
      <c r="M97" s="79"/>
      <c r="N97" s="79"/>
      <c r="O97" s="79"/>
      <c r="P97" s="79"/>
      <c r="Q97" s="77"/>
      <c r="R97" s="76"/>
      <c r="S97" s="76"/>
      <c r="T97" s="76"/>
      <c r="U97" s="76"/>
      <c r="V97" s="76"/>
      <c r="W97" s="76"/>
      <c r="X97" s="76"/>
      <c r="Y97" s="76"/>
      <c r="Z97" s="76"/>
      <c r="AA97" s="80"/>
      <c r="AB97" s="80"/>
      <c r="AC97" s="80"/>
    </row>
    <row r="98" spans="1:29" ht="13.2" x14ac:dyDescent="0.25">
      <c r="A98" s="126" t="s">
        <v>123</v>
      </c>
      <c r="B98" s="87">
        <v>1</v>
      </c>
      <c r="C98" s="88">
        <f>5.65/1000</f>
        <v>5.6500000000000005E-3</v>
      </c>
      <c r="D98" s="96">
        <f ca="1">IFERROR(__xludf.DUMMYFUNCTION("$C92*IMPORTRANGE(""https://docs.google.com/spreadsheets/d/1xsp01RMmkav9iTy39Zaj_7tE9677EGlOJ14KU9TZn7I/"",""1985-2003!H1882"")"),0.004425645)</f>
        <v>4.4256449999999998E-3</v>
      </c>
      <c r="E98" s="96">
        <f ca="1">IFERROR(__xludf.DUMMYFUNCTION("$C92*IMPORTRANGE(""https://docs.google.com/spreadsheets/d/1xsp01RMmkav9iTy39Zaj_7tE9677EGlOJ14KU9TZn7I/"",""1985-2003!T1882"")"),0.00318321)</f>
        <v>3.1832100000000001E-3</v>
      </c>
      <c r="F98" s="96">
        <f ca="1">IFERROR(__xludf.DUMMYFUNCTION("$C92*IMPORTRANGE(""https://docs.google.com/spreadsheets/d/1xsp01RMmkav9iTy39Zaj_7tE9677EGlOJ14KU9TZn7I/"",""1985-2003!AC1882"")"),0.733822)</f>
        <v>0.73382199999999997</v>
      </c>
      <c r="G98" s="126" t="s">
        <v>8</v>
      </c>
      <c r="H98" s="76"/>
      <c r="I98" s="76"/>
      <c r="J98" s="76"/>
      <c r="K98" s="77"/>
      <c r="L98" s="78"/>
      <c r="M98" s="79"/>
      <c r="N98" s="79"/>
      <c r="O98" s="79"/>
      <c r="P98" s="79"/>
      <c r="Q98" s="77"/>
      <c r="R98" s="76"/>
      <c r="S98" s="76"/>
      <c r="T98" s="76"/>
      <c r="U98" s="76"/>
      <c r="V98" s="76"/>
      <c r="W98" s="76"/>
      <c r="X98" s="76"/>
      <c r="Y98" s="76"/>
      <c r="Z98" s="76"/>
      <c r="AA98" s="80"/>
      <c r="AB98" s="80"/>
      <c r="AC98" s="80"/>
    </row>
    <row r="99" spans="1:29" ht="13.2" x14ac:dyDescent="0.25">
      <c r="A99" s="129" t="s">
        <v>124</v>
      </c>
      <c r="B99" s="100">
        <v>4</v>
      </c>
      <c r="C99" s="101">
        <f>836.5/1000</f>
        <v>0.83650000000000002</v>
      </c>
      <c r="D99" s="102">
        <f ca="1">IFERROR(__xludf.DUMMYFUNCTION("$C93*IMPORTRANGE(""https://docs.google.com/spreadsheets/d/1xsp01RMmkav9iTy39Zaj_7tE9677EGlOJ14KU9TZn7I/"",""1985-2003!H1905"")"),0.6332305)</f>
        <v>0.63323050000000003</v>
      </c>
      <c r="E99" s="102">
        <f ca="1">IFERROR(__xludf.DUMMYFUNCTION("$C93*IMPORTRANGE(""https://docs.google.com/spreadsheets/d/1xsp01RMmkav9iTy39Zaj_7tE9677EGlOJ14KU9TZn7I/"",""1985-2003!T1905"")"),0.459614925)</f>
        <v>0.45961492500000001</v>
      </c>
      <c r="F99" s="102">
        <f ca="1">IFERROR(__xludf.DUMMYFUNCTION("$C93*IMPORTRANGE(""https://docs.google.com/spreadsheets/d/1xsp01RMmkav9iTy39Zaj_7tE9677EGlOJ14KU9TZn7I/"",""1985-2003!AC1905"")"),107.314585)</f>
        <v>107.31458499999999</v>
      </c>
      <c r="G99" s="129" t="s">
        <v>8</v>
      </c>
      <c r="H99" s="76"/>
      <c r="I99" s="76"/>
      <c r="J99" s="76"/>
      <c r="K99" s="77"/>
      <c r="L99" s="78"/>
      <c r="M99" s="79"/>
      <c r="N99" s="79"/>
      <c r="O99" s="79"/>
      <c r="P99" s="79"/>
      <c r="Q99" s="77"/>
      <c r="R99" s="76"/>
      <c r="S99" s="76"/>
      <c r="T99" s="76"/>
      <c r="U99" s="76"/>
      <c r="V99" s="76"/>
      <c r="W99" s="76"/>
      <c r="X99" s="76"/>
      <c r="Y99" s="76"/>
      <c r="Z99" s="76"/>
      <c r="AA99" s="80"/>
      <c r="AB99" s="80"/>
      <c r="AC99" s="80"/>
    </row>
    <row r="100" spans="1:29" ht="13.2" x14ac:dyDescent="0.25">
      <c r="A100" s="120">
        <v>1992</v>
      </c>
      <c r="B100" s="121"/>
      <c r="C100" s="122"/>
      <c r="D100" s="122"/>
      <c r="E100" s="122"/>
      <c r="F100" s="122"/>
      <c r="G100" s="123"/>
      <c r="H100" s="76"/>
      <c r="I100" s="76"/>
      <c r="J100" s="76"/>
      <c r="K100" s="77"/>
      <c r="L100" s="78"/>
      <c r="M100" s="79"/>
      <c r="N100" s="79"/>
      <c r="O100" s="79"/>
      <c r="P100" s="79"/>
      <c r="Q100" s="77"/>
      <c r="R100" s="76"/>
      <c r="S100" s="76"/>
      <c r="T100" s="76"/>
      <c r="U100" s="76"/>
      <c r="V100" s="76"/>
      <c r="W100" s="76"/>
      <c r="X100" s="76"/>
      <c r="Y100" s="76"/>
      <c r="Z100" s="76"/>
      <c r="AA100" s="80"/>
      <c r="AB100" s="80"/>
      <c r="AC100" s="80"/>
    </row>
    <row r="101" spans="1:29" ht="13.2" x14ac:dyDescent="0.25">
      <c r="A101" s="124" t="s">
        <v>125</v>
      </c>
      <c r="B101" s="84">
        <v>0</v>
      </c>
      <c r="C101" s="85">
        <v>0</v>
      </c>
      <c r="D101" s="95">
        <f ca="1">IFERROR(__xludf.DUMMYFUNCTION("$C95*IMPORTRANGE(""https://docs.google.com/spreadsheets/d/1xsp01RMmkav9iTy39Zaj_7tE9677EGlOJ14KU9TZn7I/"",""1985-2003!H1930"")"),0)</f>
        <v>0</v>
      </c>
      <c r="E101" s="95">
        <f ca="1">IFERROR(__xludf.DUMMYFUNCTION("$C95*IMPORTRANGE(""https://docs.google.com/spreadsheets/d/1xsp01RMmkav9iTy39Zaj_7tE9677EGlOJ14KU9TZn7I/"",""1985-2003!T1930"")"),0)</f>
        <v>0</v>
      </c>
      <c r="F101" s="95">
        <f ca="1">IFERROR(__xludf.DUMMYFUNCTION("$C95*IMPORTRANGE(""https://docs.google.com/spreadsheets/d/1xsp01RMmkav9iTy39Zaj_7tE9677EGlOJ14KU9TZn7I/"",""1985-2003!AC1930"")"),0)</f>
        <v>0</v>
      </c>
      <c r="G101" s="124" t="s">
        <v>8</v>
      </c>
      <c r="H101" s="76"/>
      <c r="I101" s="76"/>
      <c r="J101" s="76"/>
      <c r="K101" s="77"/>
      <c r="L101" s="78"/>
      <c r="M101" s="79"/>
      <c r="N101" s="79"/>
      <c r="O101" s="79"/>
      <c r="P101" s="79"/>
      <c r="Q101" s="77"/>
      <c r="R101" s="76"/>
      <c r="S101" s="76"/>
      <c r="T101" s="76"/>
      <c r="U101" s="76"/>
      <c r="V101" s="76"/>
      <c r="W101" s="76"/>
      <c r="X101" s="76"/>
      <c r="Y101" s="76"/>
      <c r="Z101" s="76"/>
      <c r="AA101" s="80"/>
      <c r="AB101" s="80"/>
      <c r="AC101" s="80"/>
    </row>
    <row r="102" spans="1:29" ht="13.2" x14ac:dyDescent="0.25">
      <c r="A102" s="128" t="s">
        <v>126</v>
      </c>
      <c r="B102" s="97">
        <v>1</v>
      </c>
      <c r="C102" s="98">
        <f>33.3/1000</f>
        <v>3.3299999999999996E-2</v>
      </c>
      <c r="D102" s="99">
        <f ca="1">IFERROR(__xludf.DUMMYFUNCTION("$C96*IMPORTRANGE(""https://docs.google.com/spreadsheets/d/1xsp01RMmkav9iTy39Zaj_7tE9677EGlOJ14KU9TZn7I/"",""1985-2003!H1951"")"),0.025975665)</f>
        <v>2.5975664999999998E-2</v>
      </c>
      <c r="E102" s="99">
        <f ca="1">IFERROR(__xludf.DUMMYFUNCTION("$C96*IMPORTRANGE(""https://docs.google.com/spreadsheets/d/1xsp01RMmkav9iTy39Zaj_7tE9677EGlOJ14KU9TZn7I/"",""1985-2003!T1951"")"),0.0188178299999999)</f>
        <v>1.88178299999999E-2</v>
      </c>
      <c r="F102" s="99">
        <f ca="1">IFERROR(__xludf.DUMMYFUNCTION("$C96*IMPORTRANGE(""https://docs.google.com/spreadsheets/d/1xsp01RMmkav9iTy39Zaj_7tE9677EGlOJ14KU9TZn7I/"",""1985-2003!AC1951"")"),4.255074)</f>
        <v>4.2550739999999996</v>
      </c>
      <c r="G102" s="128" t="s">
        <v>8</v>
      </c>
      <c r="H102" s="76"/>
      <c r="I102" s="76"/>
      <c r="J102" s="76"/>
      <c r="K102" s="77"/>
      <c r="L102" s="78"/>
      <c r="M102" s="79"/>
      <c r="N102" s="79"/>
      <c r="O102" s="79"/>
      <c r="P102" s="79"/>
      <c r="Q102" s="77"/>
      <c r="R102" s="76"/>
      <c r="S102" s="76"/>
      <c r="T102" s="76"/>
      <c r="U102" s="76"/>
      <c r="V102" s="76"/>
      <c r="W102" s="76"/>
      <c r="X102" s="76"/>
      <c r="Y102" s="76"/>
      <c r="Z102" s="76"/>
      <c r="AA102" s="80"/>
      <c r="AB102" s="80"/>
      <c r="AC102" s="80"/>
    </row>
    <row r="103" spans="1:29" ht="13.2" x14ac:dyDescent="0.25">
      <c r="A103" s="126" t="s">
        <v>127</v>
      </c>
      <c r="B103" s="87">
        <v>3</v>
      </c>
      <c r="C103" s="88">
        <f>164.3/1000</f>
        <v>0.1643</v>
      </c>
      <c r="D103" s="96">
        <f ca="1">IFERROR(__xludf.DUMMYFUNCTION("$C97*IMPORTRANGE(""https://docs.google.com/spreadsheets/d/1xsp01RMmkav9iTy39Zaj_7tE9677EGlOJ14KU9TZn7I/"",""1985-2003!H1974"")"),0.131185335)</f>
        <v>0.13118533499999999</v>
      </c>
      <c r="E103" s="96">
        <f ca="1">IFERROR(__xludf.DUMMYFUNCTION("$C97*IMPORTRANGE(""https://docs.google.com/spreadsheets/d/1xsp01RMmkav9iTy39Zaj_7tE9677EGlOJ14KU9TZn7I/"",""1985-2003!T1974"")"),0.09527757)</f>
        <v>9.5277570000000006E-2</v>
      </c>
      <c r="F103" s="96">
        <f ca="1">IFERROR(__xludf.DUMMYFUNCTION("$C97*IMPORTRANGE(""https://docs.google.com/spreadsheets/d/1xsp01RMmkav9iTy39Zaj_7tE9677EGlOJ14KU9TZn7I/"",""1985-2003!AC1974"")"),21.8436849999999)</f>
        <v>21.843684999999901</v>
      </c>
      <c r="G103" s="126" t="s">
        <v>8</v>
      </c>
      <c r="H103" s="76"/>
      <c r="I103" s="76"/>
      <c r="J103" s="76"/>
      <c r="K103" s="77"/>
      <c r="L103" s="78"/>
      <c r="M103" s="79"/>
      <c r="N103" s="79"/>
      <c r="O103" s="79"/>
      <c r="P103" s="79"/>
      <c r="Q103" s="77"/>
      <c r="R103" s="76"/>
      <c r="S103" s="76"/>
      <c r="T103" s="76"/>
      <c r="U103" s="76"/>
      <c r="V103" s="76"/>
      <c r="W103" s="76"/>
      <c r="X103" s="76"/>
      <c r="Y103" s="76"/>
      <c r="Z103" s="76"/>
      <c r="AA103" s="80"/>
      <c r="AB103" s="80"/>
      <c r="AC103" s="80"/>
    </row>
    <row r="104" spans="1:29" ht="13.2" x14ac:dyDescent="0.25">
      <c r="A104" s="128" t="s">
        <v>128</v>
      </c>
      <c r="B104" s="97">
        <v>2</v>
      </c>
      <c r="C104" s="98">
        <f>43.2/1000</f>
        <v>4.3200000000000002E-2</v>
      </c>
      <c r="D104" s="99">
        <f ca="1">IFERROR(__xludf.DUMMYFUNCTION("$C98*IMPORTRANGE(""https://docs.google.com/spreadsheets/d/1xsp01RMmkav9iTy39Zaj_7tE9677EGlOJ14KU9TZn7I/"",""1985-2003!H1997"")"),0.03419064)</f>
        <v>3.4190640000000001E-2</v>
      </c>
      <c r="E104" s="99">
        <f ca="1">IFERROR(__xludf.DUMMYFUNCTION("$C98*IMPORTRANGE(""https://docs.google.com/spreadsheets/d/1xsp01RMmkav9iTy39Zaj_7tE9677EGlOJ14KU9TZn7I/"",""1985-2003!T1997"")"),0.02453328)</f>
        <v>2.4533280000000001E-2</v>
      </c>
      <c r="F104" s="99">
        <f ca="1">IFERROR(__xludf.DUMMYFUNCTION("$C98*IMPORTRANGE(""https://docs.google.com/spreadsheets/d/1xsp01RMmkav9iTy39Zaj_7tE9677EGlOJ14KU9TZn7I/"",""1985-2003!AC1997"")"),5.764176)</f>
        <v>5.764176</v>
      </c>
      <c r="G104" s="128" t="s">
        <v>8</v>
      </c>
      <c r="H104" s="76"/>
      <c r="I104" s="76"/>
      <c r="J104" s="76"/>
      <c r="K104" s="77"/>
      <c r="L104" s="78"/>
      <c r="M104" s="79"/>
      <c r="N104" s="79"/>
      <c r="O104" s="79"/>
      <c r="P104" s="79"/>
      <c r="Q104" s="77"/>
      <c r="R104" s="76"/>
      <c r="S104" s="76"/>
      <c r="T104" s="76"/>
      <c r="U104" s="76"/>
      <c r="V104" s="76"/>
      <c r="W104" s="76"/>
      <c r="X104" s="76"/>
      <c r="Y104" s="76"/>
      <c r="Z104" s="76"/>
      <c r="AA104" s="80"/>
      <c r="AB104" s="80"/>
      <c r="AC104" s="80"/>
    </row>
    <row r="105" spans="1:29" ht="13.2" x14ac:dyDescent="0.25">
      <c r="A105" s="126" t="s">
        <v>129</v>
      </c>
      <c r="B105" s="87">
        <v>2</v>
      </c>
      <c r="C105" s="88">
        <f>715.1/1000</f>
        <v>0.71510000000000007</v>
      </c>
      <c r="D105" s="96">
        <f ca="1">IFERROR(__xludf.DUMMYFUNCTION("$C99*IMPORTRANGE(""https://docs.google.com/spreadsheets/d/1xsp01RMmkav9iTy39Zaj_7tE9677EGlOJ14KU9TZn7I/"",""1985-2003!H2019"")"),0.55498911)</f>
        <v>0.55498910999999995</v>
      </c>
      <c r="E105" s="96">
        <f ca="1">IFERROR(__xludf.DUMMYFUNCTION("$C99*IMPORTRANGE(""https://docs.google.com/spreadsheets/d/1xsp01RMmkav9iTy39Zaj_7tE9677EGlOJ14KU9TZn7I/"",""1985-2003!T2019"")"),0.39437765)</f>
        <v>0.39437765000000002</v>
      </c>
      <c r="F105" s="96">
        <f ca="1">IFERROR(__xludf.DUMMYFUNCTION("$C99*IMPORTRANGE(""https://docs.google.com/spreadsheets/d/1xsp01RMmkav9iTy39Zaj_7tE9677EGlOJ14KU9TZn7I/"",""1985-2003!AC2019"")"),93.027359)</f>
        <v>93.027359000000004</v>
      </c>
      <c r="G105" s="126" t="s">
        <v>8</v>
      </c>
      <c r="H105" s="76"/>
      <c r="I105" s="76"/>
      <c r="J105" s="76"/>
      <c r="K105" s="77"/>
      <c r="L105" s="78"/>
      <c r="M105" s="79"/>
      <c r="N105" s="79"/>
      <c r="O105" s="79"/>
      <c r="P105" s="79"/>
      <c r="Q105" s="77"/>
      <c r="R105" s="76"/>
      <c r="S105" s="76"/>
      <c r="T105" s="76"/>
      <c r="U105" s="76"/>
      <c r="V105" s="76"/>
      <c r="W105" s="76"/>
      <c r="X105" s="76"/>
      <c r="Y105" s="76"/>
      <c r="Z105" s="76"/>
      <c r="AA105" s="80"/>
      <c r="AB105" s="80"/>
      <c r="AC105" s="80"/>
    </row>
    <row r="106" spans="1:29" ht="13.2" x14ac:dyDescent="0.25">
      <c r="A106" s="128" t="s">
        <v>130</v>
      </c>
      <c r="B106" s="97">
        <v>5</v>
      </c>
      <c r="C106" s="98">
        <f>11.7/1000</f>
        <v>1.1699999999999999E-2</v>
      </c>
      <c r="D106" s="99">
        <f ca="1">IFERROR(__xludf.DUMMYFUNCTION("$C100*IMPORTRANGE(""https://docs.google.com/spreadsheets/d/1xsp01RMmkav9iTy39Zaj_7tE9677EGlOJ14KU9TZn7I/"",""1985-2003!H2042"")"),0.00881770499999999)</f>
        <v>8.8177049999999899E-3</v>
      </c>
      <c r="E106" s="99">
        <f ca="1">IFERROR(__xludf.DUMMYFUNCTION("$C100*IMPORTRANGE(""https://docs.google.com/spreadsheets/d/1xsp01RMmkav9iTy39Zaj_7tE9677EGlOJ14KU9TZn7I/"",""1985-2003!T2042"")"),0.00630044999999999)</f>
        <v>6.3004499999999904E-3</v>
      </c>
      <c r="F106" s="99">
        <f ca="1">IFERROR(__xludf.DUMMYFUNCTION("$C100*IMPORTRANGE(""https://docs.google.com/spreadsheets/d/1xsp01RMmkav9iTy39Zaj_7tE9677EGlOJ14KU9TZn7I/"",""1985-2003!AC2042"")"),1.48484699999999)</f>
        <v>1.48484699999999</v>
      </c>
      <c r="G106" s="128" t="s">
        <v>8</v>
      </c>
      <c r="H106" s="76"/>
      <c r="I106" s="76"/>
      <c r="J106" s="76"/>
      <c r="K106" s="77"/>
      <c r="L106" s="78"/>
      <c r="M106" s="79"/>
      <c r="N106" s="79"/>
      <c r="O106" s="79"/>
      <c r="P106" s="79"/>
      <c r="Q106" s="77"/>
      <c r="R106" s="76"/>
      <c r="S106" s="76"/>
      <c r="T106" s="76"/>
      <c r="U106" s="76"/>
      <c r="V106" s="76"/>
      <c r="W106" s="76"/>
      <c r="X106" s="76"/>
      <c r="Y106" s="76"/>
      <c r="Z106" s="76"/>
      <c r="AA106" s="80"/>
      <c r="AB106" s="80"/>
      <c r="AC106" s="80"/>
    </row>
    <row r="107" spans="1:29" ht="13.2" x14ac:dyDescent="0.25">
      <c r="A107" s="126" t="s">
        <v>131</v>
      </c>
      <c r="B107" s="87">
        <v>3</v>
      </c>
      <c r="C107" s="88">
        <f>383.3/1000</f>
        <v>0.38330000000000003</v>
      </c>
      <c r="D107" s="96">
        <f ca="1">IFERROR(__xludf.DUMMYFUNCTION("$C101*IMPORTRANGE(""https://docs.google.com/spreadsheets/d/1xsp01RMmkav9iTy39Zaj_7tE9677EGlOJ14KU9TZn7I/"",""1985-2003!H2066"")"),0.27371453)</f>
        <v>0.27371453000000001</v>
      </c>
      <c r="E107" s="96">
        <f ca="1">IFERROR(__xludf.DUMMYFUNCTION("$C101*IMPORTRANGE(""https://docs.google.com/spreadsheets/d/1xsp01RMmkav9iTy39Zaj_7tE9677EGlOJ14KU9TZn7I/"",""1985-2003!T2066"")"),0.19985262)</f>
        <v>0.19985262000000001</v>
      </c>
      <c r="F107" s="96">
        <f ca="1">IFERROR(__xludf.DUMMYFUNCTION("$C101*IMPORTRANGE(""https://docs.google.com/spreadsheets/d/1xsp01RMmkav9iTy39Zaj_7tE9677EGlOJ14KU9TZn7I/"",""1985-2003!AC2066"")"),48.031323)</f>
        <v>48.031323</v>
      </c>
      <c r="G107" s="126" t="s">
        <v>8</v>
      </c>
      <c r="H107" s="76"/>
      <c r="I107" s="76"/>
      <c r="J107" s="76"/>
      <c r="K107" s="77"/>
      <c r="L107" s="78"/>
      <c r="M107" s="79"/>
      <c r="N107" s="79"/>
      <c r="O107" s="79"/>
      <c r="P107" s="79"/>
      <c r="Q107" s="77"/>
      <c r="R107" s="76"/>
      <c r="S107" s="76"/>
      <c r="T107" s="76"/>
      <c r="U107" s="76"/>
      <c r="V107" s="76"/>
      <c r="W107" s="76"/>
      <c r="X107" s="76"/>
      <c r="Y107" s="76"/>
      <c r="Z107" s="76"/>
      <c r="AA107" s="80"/>
      <c r="AB107" s="80"/>
      <c r="AC107" s="80"/>
    </row>
    <row r="108" spans="1:29" ht="13.2" x14ac:dyDescent="0.25">
      <c r="A108" s="128" t="s">
        <v>132</v>
      </c>
      <c r="B108" s="97">
        <v>0</v>
      </c>
      <c r="C108" s="98">
        <v>0</v>
      </c>
      <c r="D108" s="99">
        <f ca="1">IFERROR(__xludf.DUMMYFUNCTION("$C102*IMPORTRANGE(""https://docs.google.com/spreadsheets/d/1xsp01RMmkav9iTy39Zaj_7tE9677EGlOJ14KU9TZn7I/"",""1985-2003!H2088"")"),0)</f>
        <v>0</v>
      </c>
      <c r="E108" s="99">
        <f ca="1">IFERROR(__xludf.DUMMYFUNCTION("$C102*IMPORTRANGE(""https://docs.google.com/spreadsheets/d/1xsp01RMmkav9iTy39Zaj_7tE9677EGlOJ14KU9TZn7I/"",""1985-2003!T2088"")"),0)</f>
        <v>0</v>
      </c>
      <c r="F108" s="99">
        <f ca="1">IFERROR(__xludf.DUMMYFUNCTION("$C102*IMPORTRANGE(""https://docs.google.com/spreadsheets/d/1xsp01RMmkav9iTy39Zaj_7tE9677EGlOJ14KU9TZn7I/"",""1985-2003!AC2088"")"),0)</f>
        <v>0</v>
      </c>
      <c r="G108" s="128" t="s">
        <v>8</v>
      </c>
      <c r="H108" s="76"/>
      <c r="I108" s="76"/>
      <c r="J108" s="76"/>
      <c r="K108" s="77"/>
      <c r="L108" s="78"/>
      <c r="M108" s="79"/>
      <c r="N108" s="79"/>
      <c r="O108" s="79"/>
      <c r="P108" s="79"/>
      <c r="Q108" s="77"/>
      <c r="R108" s="76"/>
      <c r="S108" s="76"/>
      <c r="T108" s="76"/>
      <c r="U108" s="76"/>
      <c r="V108" s="76"/>
      <c r="W108" s="76"/>
      <c r="X108" s="76"/>
      <c r="Y108" s="76"/>
      <c r="Z108" s="76"/>
      <c r="AA108" s="80"/>
      <c r="AB108" s="80"/>
      <c r="AC108" s="80"/>
    </row>
    <row r="109" spans="1:29" ht="13.2" x14ac:dyDescent="0.25">
      <c r="A109" s="126" t="s">
        <v>133</v>
      </c>
      <c r="B109" s="87">
        <v>4</v>
      </c>
      <c r="C109" s="88">
        <f>568/1000</f>
        <v>0.56799999999999995</v>
      </c>
      <c r="D109" s="96">
        <f ca="1">IFERROR(__xludf.DUMMYFUNCTION("$C103*IMPORTRANGE(""https://docs.google.com/spreadsheets/d/1xsp01RMmkav9iTy39Zaj_7tE9677EGlOJ14KU9TZn7I/"",""1985-2003!H2111"")"),0.403279999999999)</f>
        <v>0.40327999999999897</v>
      </c>
      <c r="E109" s="96">
        <f ca="1">IFERROR(__xludf.DUMMYFUNCTION("$C103*IMPORTRANGE(""https://docs.google.com/spreadsheets/d/1xsp01RMmkav9iTy39Zaj_7tE9677EGlOJ14KU9TZn7I/"",""1985-2003!T2111"")"),0.304249199999999)</f>
        <v>0.304249199999999</v>
      </c>
      <c r="F109" s="96">
        <f ca="1">IFERROR(__xludf.DUMMYFUNCTION("$C103*IMPORTRANGE(""https://docs.google.com/spreadsheets/d/1xsp01RMmkav9iTy39Zaj_7tE9677EGlOJ14KU9TZn7I/"",""1985-2003!AC2111"")"),70.0116799999999)</f>
        <v>70.011679999999899</v>
      </c>
      <c r="G109" s="126" t="s">
        <v>8</v>
      </c>
      <c r="H109" s="76"/>
      <c r="I109" s="76"/>
      <c r="J109" s="76"/>
      <c r="K109" s="77"/>
      <c r="L109" s="78"/>
      <c r="M109" s="79"/>
      <c r="N109" s="79"/>
      <c r="O109" s="79"/>
      <c r="P109" s="79"/>
      <c r="Q109" s="77"/>
      <c r="R109" s="76"/>
      <c r="S109" s="76"/>
      <c r="T109" s="76"/>
      <c r="U109" s="76"/>
      <c r="V109" s="76"/>
      <c r="W109" s="76"/>
      <c r="X109" s="76"/>
      <c r="Y109" s="76"/>
      <c r="Z109" s="76"/>
      <c r="AA109" s="80"/>
      <c r="AB109" s="80"/>
      <c r="AC109" s="80"/>
    </row>
    <row r="110" spans="1:29" ht="13.2" x14ac:dyDescent="0.25">
      <c r="A110" s="128" t="s">
        <v>134</v>
      </c>
      <c r="B110" s="97">
        <v>0</v>
      </c>
      <c r="C110" s="98">
        <v>0</v>
      </c>
      <c r="D110" s="99">
        <f ca="1">IFERROR(__xludf.DUMMYFUNCTION("$C104*IMPORTRANGE(""https://docs.google.com/spreadsheets/d/1xsp01RMmkav9iTy39Zaj_7tE9677EGlOJ14KU9TZn7I/"",""1985-2003!H2134"")"),0)</f>
        <v>0</v>
      </c>
      <c r="E110" s="99">
        <f ca="1">IFERROR(__xludf.DUMMYFUNCTION("$C104*IMPORTRANGE(""https://docs.google.com/spreadsheets/d/1xsp01RMmkav9iTy39Zaj_7tE9677EGlOJ14KU9TZn7I/"",""1985-2003!T2134"")"),0)</f>
        <v>0</v>
      </c>
      <c r="F110" s="99">
        <f ca="1">IFERROR(__xludf.DUMMYFUNCTION("$C104*IMPORTRANGE(""https://docs.google.com/spreadsheets/d/1xsp01RMmkav9iTy39Zaj_7tE9677EGlOJ14KU9TZn7I/"",""1985-2003!AC2134"")"),0)</f>
        <v>0</v>
      </c>
      <c r="G110" s="128" t="s">
        <v>8</v>
      </c>
      <c r="H110" s="76"/>
      <c r="I110" s="76"/>
      <c r="J110" s="76"/>
      <c r="K110" s="77"/>
      <c r="L110" s="78"/>
      <c r="M110" s="79"/>
      <c r="N110" s="79"/>
      <c r="O110" s="79"/>
      <c r="P110" s="79"/>
      <c r="Q110" s="77"/>
      <c r="R110" s="76"/>
      <c r="S110" s="76"/>
      <c r="T110" s="76"/>
      <c r="U110" s="76"/>
      <c r="V110" s="76"/>
      <c r="W110" s="76"/>
      <c r="X110" s="76"/>
      <c r="Y110" s="76"/>
      <c r="Z110" s="76"/>
      <c r="AA110" s="80"/>
      <c r="AB110" s="80"/>
      <c r="AC110" s="80"/>
    </row>
    <row r="111" spans="1:29" ht="13.2" x14ac:dyDescent="0.25">
      <c r="A111" s="126" t="s">
        <v>135</v>
      </c>
      <c r="B111" s="87">
        <v>0</v>
      </c>
      <c r="C111" s="88">
        <v>0</v>
      </c>
      <c r="D111" s="96">
        <f ca="1">IFERROR(__xludf.DUMMYFUNCTION("$C105*IMPORTRANGE(""https://docs.google.com/spreadsheets/d/1xsp01RMmkav9iTy39Zaj_7tE9677EGlOJ14KU9TZn7I/"",""1985-2003!H2156"")"),0)</f>
        <v>0</v>
      </c>
      <c r="E111" s="96">
        <f ca="1">IFERROR(__xludf.DUMMYFUNCTION("$C105*IMPORTRANGE(""https://docs.google.com/spreadsheets/d/1xsp01RMmkav9iTy39Zaj_7tE9677EGlOJ14KU9TZn7I/"",""1985-2003!T2156"")"),0)</f>
        <v>0</v>
      </c>
      <c r="F111" s="96">
        <f ca="1">IFERROR(__xludf.DUMMYFUNCTION("$C105*IMPORTRANGE(""https://docs.google.com/spreadsheets/d/1xsp01RMmkav9iTy39Zaj_7tE9677EGlOJ14KU9TZn7I/"",""1985-2003!AC2156"")"),0)</f>
        <v>0</v>
      </c>
      <c r="G111" s="126" t="s">
        <v>8</v>
      </c>
      <c r="H111" s="76"/>
      <c r="I111" s="76"/>
      <c r="J111" s="76"/>
      <c r="K111" s="77"/>
      <c r="L111" s="78"/>
      <c r="M111" s="79"/>
      <c r="N111" s="79"/>
      <c r="O111" s="79"/>
      <c r="P111" s="79"/>
      <c r="Q111" s="77"/>
      <c r="R111" s="76"/>
      <c r="S111" s="76"/>
      <c r="T111" s="76"/>
      <c r="U111" s="76"/>
      <c r="V111" s="76"/>
      <c r="W111" s="76"/>
      <c r="X111" s="76"/>
      <c r="Y111" s="76"/>
      <c r="Z111" s="76"/>
      <c r="AA111" s="80"/>
      <c r="AB111" s="80"/>
      <c r="AC111" s="80"/>
    </row>
    <row r="112" spans="1:29" ht="13.2" x14ac:dyDescent="0.25">
      <c r="A112" s="129" t="s">
        <v>136</v>
      </c>
      <c r="B112" s="100">
        <v>7</v>
      </c>
      <c r="C112" s="101">
        <f>297/1000</f>
        <v>0.29699999999999999</v>
      </c>
      <c r="D112" s="102">
        <f ca="1">IFERROR(__xludf.DUMMYFUNCTION("$C106*IMPORTRANGE(""https://docs.google.com/spreadsheets/d/1xsp01RMmkav9iTy39Zaj_7tE9677EGlOJ14KU9TZn7I/"",""1985-2003!H2180"")"),0.2326104)</f>
        <v>0.23261039999999999</v>
      </c>
      <c r="E112" s="102">
        <f ca="1">IFERROR(__xludf.DUMMYFUNCTION("$C106*IMPORTRANGE(""https://docs.google.com/spreadsheets/d/1xsp01RMmkav9iTy39Zaj_7tE9677EGlOJ14KU9TZn7I/"",""1985-2003!T2180"")"),0.190169099999999)</f>
        <v>0.19016909999999901</v>
      </c>
      <c r="F112" s="102">
        <f ca="1">IFERROR(__xludf.DUMMYFUNCTION("$C106*IMPORTRANGE(""https://docs.google.com/spreadsheets/d/1xsp01RMmkav9iTy39Zaj_7tE9677EGlOJ14KU9TZn7I/"",""1985-2003!AC2180"")"),36.7983)</f>
        <v>36.798299999999998</v>
      </c>
      <c r="G112" s="129" t="s">
        <v>8</v>
      </c>
      <c r="H112" s="76"/>
      <c r="I112" s="76"/>
      <c r="J112" s="76"/>
      <c r="K112" s="77"/>
      <c r="L112" s="78"/>
      <c r="M112" s="79"/>
      <c r="N112" s="79"/>
      <c r="O112" s="79"/>
      <c r="P112" s="79"/>
      <c r="Q112" s="77"/>
      <c r="R112" s="76"/>
      <c r="S112" s="76"/>
      <c r="T112" s="76"/>
      <c r="U112" s="76"/>
      <c r="V112" s="76"/>
      <c r="W112" s="76"/>
      <c r="X112" s="76"/>
      <c r="Y112" s="76"/>
      <c r="Z112" s="76"/>
      <c r="AA112" s="80"/>
      <c r="AB112" s="80"/>
      <c r="AC112" s="80"/>
    </row>
    <row r="113" spans="1:29" ht="13.2" x14ac:dyDescent="0.25">
      <c r="A113" s="120">
        <v>1993</v>
      </c>
      <c r="B113" s="121"/>
      <c r="C113" s="122"/>
      <c r="D113" s="122"/>
      <c r="E113" s="122"/>
      <c r="F113" s="122"/>
      <c r="G113" s="123"/>
      <c r="H113" s="76"/>
      <c r="I113" s="76"/>
      <c r="J113" s="76"/>
      <c r="K113" s="77"/>
      <c r="L113" s="78"/>
      <c r="M113" s="79"/>
      <c r="N113" s="79"/>
      <c r="O113" s="79"/>
      <c r="P113" s="79"/>
      <c r="Q113" s="77"/>
      <c r="R113" s="76"/>
      <c r="S113" s="76"/>
      <c r="T113" s="76"/>
      <c r="U113" s="76"/>
      <c r="V113" s="76"/>
      <c r="W113" s="76"/>
      <c r="X113" s="76"/>
      <c r="Y113" s="76"/>
      <c r="Z113" s="76"/>
      <c r="AA113" s="80"/>
      <c r="AB113" s="80"/>
      <c r="AC113" s="80"/>
    </row>
    <row r="114" spans="1:29" ht="13.2" x14ac:dyDescent="0.25">
      <c r="A114" s="124" t="s">
        <v>137</v>
      </c>
      <c r="B114" s="84">
        <v>1</v>
      </c>
      <c r="C114" s="85">
        <f>49.2/1000</f>
        <v>4.9200000000000001E-2</v>
      </c>
      <c r="D114" s="95">
        <f ca="1">IFERROR(__xludf.DUMMYFUNCTION("$C108*IMPORTRANGE(""https://docs.google.com/spreadsheets/d/1xsp01RMmkav9iTy39Zaj_7tE9677EGlOJ14KU9TZn7I/"",""1985-2003!H2202"")"),0.03987168)</f>
        <v>3.987168E-2</v>
      </c>
      <c r="E114" s="95">
        <f ca="1">IFERROR(__xludf.DUMMYFUNCTION("$C108*IMPORTRANGE(""https://docs.google.com/spreadsheets/d/1xsp01RMmkav9iTy39Zaj_7tE9677EGlOJ14KU9TZn7I/"",""1985-2003!T2202"")"),0.03197754)</f>
        <v>3.1977539999999999E-2</v>
      </c>
      <c r="F114" s="95">
        <f ca="1">IFERROR(__xludf.DUMMYFUNCTION("$C108*IMPORTRANGE(""https://docs.google.com/spreadsheets/d/1xsp01RMmkav9iTy39Zaj_7tE9677EGlOJ14KU9TZn7I/"",""1985-2003!AC2202"")"),6.156888)</f>
        <v>6.1568880000000004</v>
      </c>
      <c r="G114" s="124" t="s">
        <v>8</v>
      </c>
      <c r="H114" s="76"/>
      <c r="I114" s="76"/>
      <c r="J114" s="76"/>
      <c r="K114" s="77"/>
      <c r="L114" s="78"/>
      <c r="M114" s="79"/>
      <c r="N114" s="79"/>
      <c r="O114" s="79"/>
      <c r="P114" s="79"/>
      <c r="Q114" s="77"/>
      <c r="R114" s="76"/>
      <c r="S114" s="76"/>
      <c r="T114" s="76"/>
      <c r="U114" s="76"/>
      <c r="V114" s="76"/>
      <c r="W114" s="76"/>
      <c r="X114" s="76"/>
      <c r="Y114" s="76"/>
      <c r="Z114" s="76"/>
      <c r="AA114" s="80"/>
      <c r="AB114" s="80"/>
      <c r="AC114" s="80"/>
    </row>
    <row r="115" spans="1:29" ht="13.2" x14ac:dyDescent="0.25">
      <c r="A115" s="128" t="s">
        <v>138</v>
      </c>
      <c r="B115" s="97">
        <v>2</v>
      </c>
      <c r="C115" s="98">
        <f>72/1000</f>
        <v>7.1999999999999995E-2</v>
      </c>
      <c r="D115" s="99">
        <f ca="1">IFERROR(__xludf.DUMMYFUNCTION("$C109*IMPORTRANGE(""https://docs.google.com/spreadsheets/d/1xsp01RMmkav9iTy39Zaj_7tE9677EGlOJ14KU9TZn7I/"",""1985-2003!H2223"")"),0.0594215999999999)</f>
        <v>5.9421599999999901E-2</v>
      </c>
      <c r="E115" s="99">
        <f ca="1">IFERROR(__xludf.DUMMYFUNCTION("$C109*IMPORTRANGE(""https://docs.google.com/spreadsheets/d/1xsp01RMmkav9iTy39Zaj_7tE9677EGlOJ14KU9TZn7I/"",""1985-2003!T2223"")"),0.0500184)</f>
        <v>5.0018399999999998E-2</v>
      </c>
      <c r="F115" s="99">
        <f ca="1">IFERROR(__xludf.DUMMYFUNCTION("$C109*IMPORTRANGE(""https://docs.google.com/spreadsheets/d/1xsp01RMmkav9iTy39Zaj_7tE9677EGlOJ14KU9TZn7I/"",""1985-2003!AC2223"")"),8.69831999999999)</f>
        <v>8.6983199999999901</v>
      </c>
      <c r="G115" s="128" t="s">
        <v>8</v>
      </c>
      <c r="H115" s="76"/>
      <c r="I115" s="76"/>
      <c r="J115" s="76"/>
      <c r="K115" s="77"/>
      <c r="L115" s="78"/>
      <c r="M115" s="79"/>
      <c r="N115" s="79"/>
      <c r="O115" s="79"/>
      <c r="P115" s="79"/>
      <c r="Q115" s="77"/>
      <c r="R115" s="76"/>
      <c r="S115" s="76"/>
      <c r="T115" s="76"/>
      <c r="U115" s="76"/>
      <c r="V115" s="76"/>
      <c r="W115" s="76"/>
      <c r="X115" s="76"/>
      <c r="Y115" s="76"/>
      <c r="Z115" s="76"/>
      <c r="AA115" s="80"/>
      <c r="AB115" s="80"/>
      <c r="AC115" s="80"/>
    </row>
    <row r="116" spans="1:29" ht="13.2" x14ac:dyDescent="0.25">
      <c r="A116" s="126" t="s">
        <v>139</v>
      </c>
      <c r="B116" s="87">
        <v>3</v>
      </c>
      <c r="C116" s="88">
        <f>620.1/1000</f>
        <v>0.62009999999999998</v>
      </c>
      <c r="D116" s="96">
        <f ca="1">IFERROR(__xludf.DUMMYFUNCTION("$C110*IMPORTRANGE(""https://docs.google.com/spreadsheets/d/1xsp01RMmkav9iTy39Zaj_7tE9677EGlOJ14KU9TZn7I/"",""1985-2003!H2247"")"),0.51524109)</f>
        <v>0.51524108999999996</v>
      </c>
      <c r="E116" s="96">
        <f ca="1">IFERROR(__xludf.DUMMYFUNCTION("$C110*IMPORTRANGE(""https://docs.google.com/spreadsheets/d/1xsp01RMmkav9iTy39Zaj_7tE9677EGlOJ14KU9TZn7I/"",""1985-2003!T2247"")"),0.42749694)</f>
        <v>0.42749693999999999</v>
      </c>
      <c r="F116" s="96">
        <f ca="1">IFERROR(__xludf.DUMMYFUNCTION("$C110*IMPORTRANGE(""https://docs.google.com/spreadsheets/d/1xsp01RMmkav9iTy39Zaj_7tE9677EGlOJ14KU9TZn7I/"",""1985-2003!AC2247"")"),72.61371)</f>
        <v>72.613709999999998</v>
      </c>
      <c r="G116" s="126" t="s">
        <v>8</v>
      </c>
      <c r="H116" s="76"/>
      <c r="I116" s="76"/>
      <c r="J116" s="76"/>
      <c r="K116" s="77"/>
      <c r="L116" s="78"/>
      <c r="M116" s="79"/>
      <c r="N116" s="79"/>
      <c r="O116" s="79"/>
      <c r="P116" s="79"/>
      <c r="Q116" s="77"/>
      <c r="R116" s="76"/>
      <c r="S116" s="76"/>
      <c r="T116" s="76"/>
      <c r="U116" s="76"/>
      <c r="V116" s="76"/>
      <c r="W116" s="76"/>
      <c r="X116" s="76"/>
      <c r="Y116" s="76"/>
      <c r="Z116" s="76"/>
      <c r="AA116" s="80"/>
      <c r="AB116" s="80"/>
      <c r="AC116" s="80"/>
    </row>
    <row r="117" spans="1:29" ht="13.2" x14ac:dyDescent="0.25">
      <c r="A117" s="128" t="s">
        <v>140</v>
      </c>
      <c r="B117" s="97">
        <v>3</v>
      </c>
      <c r="C117" s="98">
        <f>592.9/1000</f>
        <v>0.59289999999999998</v>
      </c>
      <c r="D117" s="99">
        <f ca="1">IFERROR(__xludf.DUMMYFUNCTION("$C111*IMPORTRANGE(""https://docs.google.com/spreadsheets/d/1xsp01RMmkav9iTy39Zaj_7tE9677EGlOJ14KU9TZn7I/"",""1985-2003!H2270"")"),0.477966335)</f>
        <v>0.47796633500000002</v>
      </c>
      <c r="E117" s="99">
        <f ca="1">IFERROR(__xludf.DUMMYFUNCTION("$C111*IMPORTRANGE(""https://docs.google.com/spreadsheets/d/1xsp01RMmkav9iTy39Zaj_7tE9677EGlOJ14KU9TZn7I/"",""1985-2003!T2270"")"),0.38348772)</f>
        <v>0.38348771999999998</v>
      </c>
      <c r="F117" s="99">
        <f ca="1">IFERROR(__xludf.DUMMYFUNCTION("$C111*IMPORTRANGE(""https://docs.google.com/spreadsheets/d/1xsp01RMmkav9iTy39Zaj_7tE9677EGlOJ14KU9TZn7I/"",""1985-2003!AC2270"")"),66.70125)</f>
        <v>66.701250000000002</v>
      </c>
      <c r="G117" s="128" t="s">
        <v>8</v>
      </c>
      <c r="H117" s="76"/>
      <c r="I117" s="76"/>
      <c r="J117" s="76"/>
      <c r="K117" s="77"/>
      <c r="L117" s="78"/>
      <c r="M117" s="79"/>
      <c r="N117" s="79"/>
      <c r="O117" s="79"/>
      <c r="P117" s="79"/>
      <c r="Q117" s="77"/>
      <c r="R117" s="76"/>
      <c r="S117" s="76"/>
      <c r="T117" s="76"/>
      <c r="U117" s="76"/>
      <c r="V117" s="76"/>
      <c r="W117" s="76"/>
      <c r="X117" s="76"/>
      <c r="Y117" s="76"/>
      <c r="Z117" s="76"/>
      <c r="AA117" s="80"/>
      <c r="AB117" s="80"/>
      <c r="AC117" s="80"/>
    </row>
    <row r="118" spans="1:29" ht="13.2" x14ac:dyDescent="0.25">
      <c r="A118" s="126" t="s">
        <v>141</v>
      </c>
      <c r="B118" s="87">
        <v>1</v>
      </c>
      <c r="C118" s="88">
        <f>384.9/1000</f>
        <v>0.38489999999999996</v>
      </c>
      <c r="D118" s="96">
        <f ca="1">IFERROR(__xludf.DUMMYFUNCTION("$C112*IMPORTRANGE(""https://docs.google.com/spreadsheets/d/1xsp01RMmkav9iTy39Zaj_7tE9677EGlOJ14KU9TZn7I/"",""1985-2003!H2292"")"),0.311538059999999)</f>
        <v>0.31153805999999901</v>
      </c>
      <c r="E118" s="96">
        <f ca="1">IFERROR(__xludf.DUMMYFUNCTION("$C112*IMPORTRANGE(""https://docs.google.com/spreadsheets/d/1xsp01RMmkav9iTy39Zaj_7tE9677EGlOJ14KU9TZn7I/"",""1985-2003!T2292"")"),0.24929973)</f>
        <v>0.24929973</v>
      </c>
      <c r="F118" s="96">
        <f ca="1">IFERROR(__xludf.DUMMYFUNCTION("$C112*IMPORTRANGE(""https://docs.google.com/spreadsheets/d/1xsp01RMmkav9iTy39Zaj_7tE9677EGlOJ14KU9TZn7I/"",""1985-2003!AC2292"")"),42.5930339999999)</f>
        <v>42.593033999999903</v>
      </c>
      <c r="G118" s="126" t="s">
        <v>8</v>
      </c>
      <c r="H118" s="76"/>
      <c r="I118" s="76"/>
      <c r="J118" s="76"/>
      <c r="K118" s="77"/>
      <c r="L118" s="78"/>
      <c r="M118" s="79"/>
      <c r="N118" s="79"/>
      <c r="O118" s="79"/>
      <c r="P118" s="79"/>
      <c r="Q118" s="77"/>
      <c r="R118" s="76"/>
      <c r="S118" s="76"/>
      <c r="T118" s="76"/>
      <c r="U118" s="76"/>
      <c r="V118" s="76"/>
      <c r="W118" s="76"/>
      <c r="X118" s="76"/>
      <c r="Y118" s="76"/>
      <c r="Z118" s="76"/>
      <c r="AA118" s="80"/>
      <c r="AB118" s="80"/>
      <c r="AC118" s="80"/>
    </row>
    <row r="119" spans="1:29" ht="13.2" x14ac:dyDescent="0.25">
      <c r="A119" s="128" t="s">
        <v>142</v>
      </c>
      <c r="B119" s="97">
        <v>8</v>
      </c>
      <c r="C119" s="98">
        <f>488.5/1000</f>
        <v>0.48849999999999999</v>
      </c>
      <c r="D119" s="99">
        <f ca="1">IFERROR(__xludf.DUMMYFUNCTION("$C113*IMPORTRANGE(""https://docs.google.com/spreadsheets/d/1xsp01RMmkav9iTy39Zaj_7tE9677EGlOJ14KU9TZn7I/"",""1985-2003!H2315"")"),0.403501)</f>
        <v>0.403501</v>
      </c>
      <c r="E119" s="99">
        <f ca="1">IFERROR(__xludf.DUMMYFUNCTION("$C113*IMPORTRANGE(""https://docs.google.com/spreadsheets/d/1xsp01RMmkav9iTy39Zaj_7tE9677EGlOJ14KU9TZn7I/"",""1985-2003!T2315"")"),0.323216025)</f>
        <v>0.32321602500000002</v>
      </c>
      <c r="F119" s="99">
        <f ca="1">IFERROR(__xludf.DUMMYFUNCTION("$C113*IMPORTRANGE(""https://docs.google.com/spreadsheets/d/1xsp01RMmkav9iTy39Zaj_7tE9677EGlOJ14KU9TZn7I/"",""1985-2003!AC2315"")"),52.2817125)</f>
        <v>52.281712499999998</v>
      </c>
      <c r="G119" s="128" t="s">
        <v>8</v>
      </c>
      <c r="H119" s="76"/>
      <c r="I119" s="76"/>
      <c r="J119" s="76"/>
      <c r="K119" s="77"/>
      <c r="L119" s="78"/>
      <c r="M119" s="79"/>
      <c r="N119" s="79"/>
      <c r="O119" s="79"/>
      <c r="P119" s="79"/>
      <c r="Q119" s="77"/>
      <c r="R119" s="76"/>
      <c r="S119" s="76"/>
      <c r="T119" s="76"/>
      <c r="U119" s="76"/>
      <c r="V119" s="76"/>
      <c r="W119" s="76"/>
      <c r="X119" s="76"/>
      <c r="Y119" s="76"/>
      <c r="Z119" s="76"/>
      <c r="AA119" s="80"/>
      <c r="AB119" s="80"/>
      <c r="AC119" s="80"/>
    </row>
    <row r="120" spans="1:29" ht="13.2" x14ac:dyDescent="0.25">
      <c r="A120" s="126" t="s">
        <v>143</v>
      </c>
      <c r="B120" s="87">
        <v>1</v>
      </c>
      <c r="C120" s="88">
        <f>328.2/1000</f>
        <v>0.32819999999999999</v>
      </c>
      <c r="D120" s="96">
        <f ca="1">IFERROR(__xludf.DUMMYFUNCTION("$C114*IMPORTRANGE(""https://docs.google.com/spreadsheets/d/1xsp01RMmkav9iTy39Zaj_7tE9677EGlOJ14KU9TZn7I/"",""1985-2003!H2338"")"),0.2850417)</f>
        <v>0.28504170000000001</v>
      </c>
      <c r="E120" s="96">
        <f ca="1">IFERROR(__xludf.DUMMYFUNCTION("$C114*IMPORTRANGE(""https://docs.google.com/spreadsheets/d/1xsp01RMmkav9iTy39Zaj_7tE9677EGlOJ14KU9TZn7I/"",""1985-2003!T2338"")"),0.21912273)</f>
        <v>0.21912272999999999</v>
      </c>
      <c r="F120" s="96">
        <f ca="1">IFERROR(__xludf.DUMMYFUNCTION("$C114*IMPORTRANGE(""https://docs.google.com/spreadsheets/d/1xsp01RMmkav9iTy39Zaj_7tE9677EGlOJ14KU9TZn7I/"",""1985-2003!AC2338"")"),35.353704)</f>
        <v>35.353704</v>
      </c>
      <c r="G120" s="126" t="s">
        <v>8</v>
      </c>
      <c r="H120" s="76"/>
      <c r="I120" s="76"/>
      <c r="J120" s="76"/>
      <c r="K120" s="77"/>
      <c r="L120" s="78"/>
      <c r="M120" s="79"/>
      <c r="N120" s="79"/>
      <c r="O120" s="79"/>
      <c r="P120" s="79"/>
      <c r="Q120" s="77"/>
      <c r="R120" s="76"/>
      <c r="S120" s="76"/>
      <c r="T120" s="76"/>
      <c r="U120" s="76"/>
      <c r="V120" s="76"/>
      <c r="W120" s="76"/>
      <c r="X120" s="76"/>
      <c r="Y120" s="76"/>
      <c r="Z120" s="76"/>
      <c r="AA120" s="80"/>
      <c r="AB120" s="80"/>
      <c r="AC120" s="80"/>
    </row>
    <row r="121" spans="1:29" ht="13.2" x14ac:dyDescent="0.25">
      <c r="A121" s="128" t="s">
        <v>144</v>
      </c>
      <c r="B121" s="97">
        <v>2</v>
      </c>
      <c r="C121" s="98">
        <f>288.1/1000</f>
        <v>0.28810000000000002</v>
      </c>
      <c r="D121" s="99">
        <f ca="1">IFERROR(__xludf.DUMMYFUNCTION("$C115*IMPORTRANGE(""https://docs.google.com/spreadsheets/d/1xsp01RMmkav9iTy39Zaj_7tE9677EGlOJ14KU9TZn7I/"",""1985-2003!H2361"")"),0.25087748)</f>
        <v>0.25087747999999999</v>
      </c>
      <c r="E121" s="99">
        <f ca="1">IFERROR(__xludf.DUMMYFUNCTION("$C115*IMPORTRANGE(""https://docs.google.com/spreadsheets/d/1xsp01RMmkav9iTy39Zaj_7tE9677EGlOJ14KU9TZn7I/"",""1985-2003!T2361"")"),0.19276771)</f>
        <v>0.19276771000000001</v>
      </c>
      <c r="F121" s="99">
        <f ca="1">IFERROR(__xludf.DUMMYFUNCTION("$C115*IMPORTRANGE(""https://docs.google.com/spreadsheets/d/1xsp01RMmkav9iTy39Zaj_7tE9677EGlOJ14KU9TZn7I/"",""1985-2003!AC2361"")"),30.040187)</f>
        <v>30.040187</v>
      </c>
      <c r="G121" s="128" t="s">
        <v>8</v>
      </c>
      <c r="H121" s="76"/>
      <c r="I121" s="76"/>
      <c r="J121" s="76"/>
      <c r="K121" s="77"/>
      <c r="L121" s="78"/>
      <c r="M121" s="79"/>
      <c r="N121" s="79"/>
      <c r="O121" s="79"/>
      <c r="P121" s="79"/>
      <c r="Q121" s="77"/>
      <c r="R121" s="76"/>
      <c r="S121" s="76"/>
      <c r="T121" s="76"/>
      <c r="U121" s="76"/>
      <c r="V121" s="76"/>
      <c r="W121" s="76"/>
      <c r="X121" s="76"/>
      <c r="Y121" s="76"/>
      <c r="Z121" s="76"/>
      <c r="AA121" s="80"/>
      <c r="AB121" s="80"/>
      <c r="AC121" s="80"/>
    </row>
    <row r="122" spans="1:29" ht="13.2" x14ac:dyDescent="0.25">
      <c r="A122" s="126" t="s">
        <v>145</v>
      </c>
      <c r="B122" s="87">
        <v>4</v>
      </c>
      <c r="C122" s="88">
        <f>214.4/1000</f>
        <v>0.21440000000000001</v>
      </c>
      <c r="D122" s="96">
        <f ca="1">IFERROR(__xludf.DUMMYFUNCTION("$C116*IMPORTRANGE(""https://docs.google.com/spreadsheets/d/1xsp01RMmkav9iTy39Zaj_7tE9677EGlOJ14KU9TZn7I/"",""1985-2003!H2384"")"),0.1785416)</f>
        <v>0.17854159999999999</v>
      </c>
      <c r="E122" s="96">
        <f ca="1">IFERROR(__xludf.DUMMYFUNCTION("$C116*IMPORTRANGE(""https://docs.google.com/spreadsheets/d/1xsp01RMmkav9iTy39Zaj_7tE9677EGlOJ14KU9TZn7I/"",""1985-2003!T2384"")"),0.14014256)</f>
        <v>0.14014256</v>
      </c>
      <c r="F122" s="96">
        <f ca="1">IFERROR(__xludf.DUMMYFUNCTION("$C116*IMPORTRANGE(""https://docs.google.com/spreadsheets/d/1xsp01RMmkav9iTy39Zaj_7tE9677EGlOJ14KU9TZn7I/"",""1985-2003!AC2384"")"),22.642784)</f>
        <v>22.642783999999999</v>
      </c>
      <c r="G122" s="126" t="s">
        <v>8</v>
      </c>
      <c r="H122" s="76"/>
      <c r="I122" s="76"/>
      <c r="J122" s="76"/>
      <c r="K122" s="77"/>
      <c r="L122" s="78"/>
      <c r="M122" s="79"/>
      <c r="N122" s="79"/>
      <c r="O122" s="79"/>
      <c r="P122" s="79"/>
      <c r="Q122" s="77"/>
      <c r="R122" s="76"/>
      <c r="S122" s="76"/>
      <c r="T122" s="76"/>
      <c r="U122" s="76"/>
      <c r="V122" s="76"/>
      <c r="W122" s="76"/>
      <c r="X122" s="76"/>
      <c r="Y122" s="76"/>
      <c r="Z122" s="76"/>
      <c r="AA122" s="80"/>
      <c r="AB122" s="80"/>
      <c r="AC122" s="80"/>
    </row>
    <row r="123" spans="1:29" ht="13.2" x14ac:dyDescent="0.25">
      <c r="A123" s="128" t="s">
        <v>146</v>
      </c>
      <c r="B123" s="97">
        <v>1</v>
      </c>
      <c r="C123" s="98">
        <f>125.2/1000</f>
        <v>0.12520000000000001</v>
      </c>
      <c r="D123" s="99">
        <f ca="1">IFERROR(__xludf.DUMMYFUNCTION("$C117*IMPORTRANGE(""https://docs.google.com/spreadsheets/d/1xsp01RMmkav9iTy39Zaj_7tE9677EGlOJ14KU9TZn7I/"",""1985-2003!H2406"")"),0.1052932)</f>
        <v>0.1052932</v>
      </c>
      <c r="E123" s="99">
        <f ca="1">IFERROR(__xludf.DUMMYFUNCTION("$C117*IMPORTRANGE(""https://docs.google.com/spreadsheets/d/1xsp01RMmkav9iTy39Zaj_7tE9677EGlOJ14KU9TZn7I/"",""1985-2003!T2406"")"),0.0834833599999999)</f>
        <v>8.3483359999999895E-2</v>
      </c>
      <c r="F123" s="99">
        <f ca="1">IFERROR(__xludf.DUMMYFUNCTION("$C117*IMPORTRANGE(""https://docs.google.com/spreadsheets/d/1xsp01RMmkav9iTy39Zaj_7tE9677EGlOJ14KU9TZn7I/"",""1985-2003!AC2406"")"),13.41518)</f>
        <v>13.415179999999999</v>
      </c>
      <c r="G123" s="128" t="s">
        <v>8</v>
      </c>
      <c r="H123" s="76"/>
      <c r="I123" s="76"/>
      <c r="J123" s="76"/>
      <c r="K123" s="77"/>
      <c r="L123" s="78"/>
      <c r="M123" s="79"/>
      <c r="N123" s="79"/>
      <c r="O123" s="79"/>
      <c r="P123" s="79"/>
      <c r="Q123" s="77"/>
      <c r="R123" s="76"/>
      <c r="S123" s="76"/>
      <c r="T123" s="76"/>
      <c r="U123" s="76"/>
      <c r="V123" s="76"/>
      <c r="W123" s="76"/>
      <c r="X123" s="76"/>
      <c r="Y123" s="76"/>
      <c r="Z123" s="76"/>
      <c r="AA123" s="80"/>
      <c r="AB123" s="80"/>
      <c r="AC123" s="80"/>
    </row>
    <row r="124" spans="1:29" ht="13.2" x14ac:dyDescent="0.25">
      <c r="A124" s="126" t="s">
        <v>147</v>
      </c>
      <c r="B124" s="87">
        <v>0</v>
      </c>
      <c r="C124" s="88">
        <v>0</v>
      </c>
      <c r="D124" s="96">
        <f ca="1">IFERROR(__xludf.DUMMYFUNCTION("$C118*IMPORTRANGE(""https://docs.google.com/spreadsheets/d/1xsp01RMmkav9iTy39Zaj_7tE9677EGlOJ14KU9TZn7I/"",""1985-2003!H2429"")"),0)</f>
        <v>0</v>
      </c>
      <c r="E124" s="96">
        <f ca="1">IFERROR(__xludf.DUMMYFUNCTION("$C118*IMPORTRANGE(""https://docs.google.com/spreadsheets/d/1xsp01RMmkav9iTy39Zaj_7tE9677EGlOJ14KU9TZn7I/"",""1985-2003!T2429"")"),0)</f>
        <v>0</v>
      </c>
      <c r="F124" s="96">
        <f ca="1">IFERROR(__xludf.DUMMYFUNCTION("$C118*IMPORTRANGE(""https://docs.google.com/spreadsheets/d/1xsp01RMmkav9iTy39Zaj_7tE9677EGlOJ14KU9TZn7I/"",""1985-2003!AC2429"")"),0)</f>
        <v>0</v>
      </c>
      <c r="G124" s="126" t="s">
        <v>8</v>
      </c>
      <c r="H124" s="76"/>
      <c r="I124" s="76"/>
      <c r="J124" s="76"/>
      <c r="K124" s="77"/>
      <c r="L124" s="78"/>
      <c r="M124" s="79"/>
      <c r="N124" s="79"/>
      <c r="O124" s="79"/>
      <c r="P124" s="79"/>
      <c r="Q124" s="77"/>
      <c r="R124" s="76"/>
      <c r="S124" s="76"/>
      <c r="T124" s="76"/>
      <c r="U124" s="76"/>
      <c r="V124" s="76"/>
      <c r="W124" s="76"/>
      <c r="X124" s="76"/>
      <c r="Y124" s="76"/>
      <c r="Z124" s="76"/>
      <c r="AA124" s="80"/>
      <c r="AB124" s="80"/>
      <c r="AC124" s="80"/>
    </row>
    <row r="125" spans="1:29" ht="13.2" x14ac:dyDescent="0.25">
      <c r="A125" s="129" t="s">
        <v>148</v>
      </c>
      <c r="B125" s="100">
        <v>7</v>
      </c>
      <c r="C125" s="101">
        <f>666.4/1000</f>
        <v>0.66639999999999999</v>
      </c>
      <c r="D125" s="102">
        <f ca="1">IFERROR(__xludf.DUMMYFUNCTION("$C119*IMPORTRANGE(""https://docs.google.com/spreadsheets/d/1xsp01RMmkav9iTy39Zaj_7tE9677EGlOJ14KU9TZn7I/"",""1985-2003!H2453"")"),0.583966319999999)</f>
        <v>0.58396631999999904</v>
      </c>
      <c r="E125" s="102">
        <f ca="1">IFERROR(__xludf.DUMMYFUNCTION("$C119*IMPORTRANGE(""https://docs.google.com/spreadsheets/d/1xsp01RMmkav9iTy39Zaj_7tE9677EGlOJ14KU9TZn7I/"",""1985-2003!H2453"")"),0.583966319999999)</f>
        <v>0.58396631999999904</v>
      </c>
      <c r="F125" s="102">
        <f ca="1">IFERROR(__xludf.DUMMYFUNCTION("$C119*IMPORTRANGE(""https://docs.google.com/spreadsheets/d/1xsp01RMmkav9iTy39Zaj_7tE9677EGlOJ14KU9TZn7I/"",""1985-2003!H2453"")"),0.583966319999999)</f>
        <v>0.58396631999999904</v>
      </c>
      <c r="G125" s="129" t="s">
        <v>8</v>
      </c>
      <c r="H125" s="76"/>
      <c r="I125" s="76"/>
      <c r="J125" s="76"/>
      <c r="K125" s="77"/>
      <c r="L125" s="78"/>
      <c r="M125" s="79"/>
      <c r="N125" s="79"/>
      <c r="O125" s="79"/>
      <c r="P125" s="79"/>
      <c r="Q125" s="77"/>
      <c r="R125" s="76"/>
      <c r="S125" s="76"/>
      <c r="T125" s="76"/>
      <c r="U125" s="76"/>
      <c r="V125" s="76"/>
      <c r="W125" s="76"/>
      <c r="X125" s="76"/>
      <c r="Y125" s="76"/>
      <c r="Z125" s="76"/>
      <c r="AA125" s="80"/>
      <c r="AB125" s="80"/>
      <c r="AC125" s="80"/>
    </row>
    <row r="126" spans="1:29" ht="13.2" x14ac:dyDescent="0.25">
      <c r="A126" s="120">
        <v>1994</v>
      </c>
      <c r="B126" s="121"/>
      <c r="C126" s="122"/>
      <c r="D126" s="122"/>
      <c r="E126" s="122"/>
      <c r="F126" s="122"/>
      <c r="G126" s="123"/>
      <c r="H126" s="76"/>
      <c r="I126" s="76"/>
      <c r="J126" s="76"/>
      <c r="K126" s="77"/>
      <c r="L126" s="78"/>
      <c r="M126" s="79"/>
      <c r="N126" s="79"/>
      <c r="O126" s="79"/>
      <c r="P126" s="79"/>
      <c r="Q126" s="77"/>
      <c r="R126" s="76"/>
      <c r="S126" s="76"/>
      <c r="T126" s="76"/>
      <c r="U126" s="76"/>
      <c r="V126" s="76"/>
      <c r="W126" s="76"/>
      <c r="X126" s="76"/>
      <c r="Y126" s="76"/>
      <c r="Z126" s="76"/>
      <c r="AA126" s="80"/>
      <c r="AB126" s="80"/>
      <c r="AC126" s="80"/>
    </row>
    <row r="127" spans="1:29" ht="13.2" x14ac:dyDescent="0.25">
      <c r="A127" s="124" t="s">
        <v>149</v>
      </c>
      <c r="B127" s="84">
        <v>4</v>
      </c>
      <c r="C127" s="85">
        <f>14.1/1000</f>
        <v>1.41E-2</v>
      </c>
      <c r="D127" s="95">
        <f ca="1">IFERROR(__xludf.DUMMYFUNCTION("$C121*IMPORTRANGE(""https://docs.google.com/spreadsheets/d/1xsp01RMmkav9iTy39Zaj_7tE9677EGlOJ14KU9TZn7I/"",""1985-2003!H2476"")"),0.0125461799999999)</f>
        <v>1.25461799999999E-2</v>
      </c>
      <c r="E127" s="95">
        <f ca="1">IFERROR(__xludf.DUMMYFUNCTION("$C121*IMPORTRANGE(""https://docs.google.com/spreadsheets/d/1xsp01RMmkav9iTy39Zaj_7tE9677EGlOJ14KU9TZn7I/"",""1985-2003!T2476"")"),0.00944136)</f>
        <v>9.4413599999999993E-3</v>
      </c>
      <c r="F127" s="95">
        <f ca="1">IFERROR(__xludf.DUMMYFUNCTION("$C121*IMPORTRANGE(""https://docs.google.com/spreadsheets/d/1xsp01RMmkav9iTy39Zaj_7tE9677EGlOJ14KU9TZn7I/"",""1985-2003!AC2476"")"),1.57355999999999)</f>
        <v>1.5735599999999901</v>
      </c>
      <c r="G127" s="124" t="s">
        <v>8</v>
      </c>
      <c r="H127" s="76"/>
      <c r="I127" s="76"/>
      <c r="J127" s="76"/>
      <c r="K127" s="77"/>
      <c r="L127" s="78"/>
      <c r="M127" s="79"/>
      <c r="N127" s="79"/>
      <c r="O127" s="79"/>
      <c r="P127" s="79"/>
      <c r="Q127" s="77"/>
      <c r="R127" s="76"/>
      <c r="S127" s="76"/>
      <c r="T127" s="76"/>
      <c r="U127" s="76"/>
      <c r="V127" s="76"/>
      <c r="W127" s="76"/>
      <c r="X127" s="76"/>
      <c r="Y127" s="76"/>
      <c r="Z127" s="76"/>
      <c r="AA127" s="80"/>
      <c r="AB127" s="80"/>
      <c r="AC127" s="80"/>
    </row>
    <row r="128" spans="1:29" ht="13.2" x14ac:dyDescent="0.25">
      <c r="A128" s="128" t="s">
        <v>150</v>
      </c>
      <c r="B128" s="97">
        <v>2</v>
      </c>
      <c r="C128" s="98">
        <f>340/1000</f>
        <v>0.34</v>
      </c>
      <c r="D128" s="99">
        <f ca="1">IFERROR(__xludf.DUMMYFUNCTION("$C122*IMPORTRANGE(""https://docs.google.com/spreadsheets/d/1xsp01RMmkav9iTy39Zaj_7tE9677EGlOJ14KU9TZn7I/"",""1985-2003!H2497"")"),0.299999)</f>
        <v>0.29999900000000002</v>
      </c>
      <c r="E128" s="99">
        <f ca="1">IFERROR(__xludf.DUMMYFUNCTION("$C122*IMPORTRANGE(""https://docs.google.com/spreadsheets/d/1xsp01RMmkav9iTy39Zaj_7tE9677EGlOJ14KU9TZn7I/"",""1985-2003!T2497"")"),0.230027)</f>
        <v>0.23002700000000001</v>
      </c>
      <c r="F128" s="99">
        <f ca="1">IFERROR(__xludf.DUMMYFUNCTION("$C122*IMPORTRANGE(""https://docs.google.com/spreadsheets/d/1xsp01RMmkav9iTy39Zaj_7tE9677EGlOJ14KU9TZn7I/"",""1985-2003!AC2497"")"),36.0655)</f>
        <v>36.0655</v>
      </c>
      <c r="G128" s="128" t="s">
        <v>8</v>
      </c>
      <c r="H128" s="76"/>
      <c r="I128" s="76"/>
      <c r="J128" s="76"/>
      <c r="K128" s="77"/>
      <c r="L128" s="78"/>
      <c r="M128" s="79"/>
      <c r="N128" s="79"/>
      <c r="O128" s="79"/>
      <c r="P128" s="79"/>
      <c r="Q128" s="77"/>
      <c r="R128" s="76"/>
      <c r="S128" s="76"/>
      <c r="T128" s="76"/>
      <c r="U128" s="76"/>
      <c r="V128" s="76"/>
      <c r="W128" s="76"/>
      <c r="X128" s="76"/>
      <c r="Y128" s="76"/>
      <c r="Z128" s="76"/>
      <c r="AA128" s="80"/>
      <c r="AB128" s="80"/>
      <c r="AC128" s="80"/>
    </row>
    <row r="129" spans="1:29" ht="13.2" x14ac:dyDescent="0.25">
      <c r="A129" s="126" t="s">
        <v>151</v>
      </c>
      <c r="B129" s="87">
        <v>1</v>
      </c>
      <c r="C129" s="88">
        <v>0</v>
      </c>
      <c r="D129" s="96">
        <f ca="1">IFERROR(__xludf.DUMMYFUNCTION("$C123*IMPORTRANGE(""https://docs.google.com/spreadsheets/d/1xsp01RMmkav9iTy39Zaj_7tE9677EGlOJ14KU9TZn7I/"",""1985-2003!H2521"")"),0)</f>
        <v>0</v>
      </c>
      <c r="E129" s="96">
        <f ca="1">IFERROR(__xludf.DUMMYFUNCTION("$C123*IMPORTRANGE(""https://docs.google.com/spreadsheets/d/1xsp01RMmkav9iTy39Zaj_7tE9677EGlOJ14KU9TZn7I/"",""1985-2003!T2521"")"),0)</f>
        <v>0</v>
      </c>
      <c r="F129" s="96">
        <f ca="1">IFERROR(__xludf.DUMMYFUNCTION("$C123*IMPORTRANGE(""https://docs.google.com/spreadsheets/d/1xsp01RMmkav9iTy39Zaj_7tE9677EGlOJ14KU9TZn7I/"",""1985-2003!AC2521"")"),0)</f>
        <v>0</v>
      </c>
      <c r="G129" s="126" t="s">
        <v>8</v>
      </c>
      <c r="H129" s="76"/>
      <c r="I129" s="76"/>
      <c r="J129" s="76"/>
      <c r="K129" s="77"/>
      <c r="L129" s="78"/>
      <c r="M129" s="79"/>
      <c r="N129" s="79"/>
      <c r="O129" s="79"/>
      <c r="P129" s="79"/>
      <c r="Q129" s="77"/>
      <c r="R129" s="76"/>
      <c r="S129" s="76"/>
      <c r="T129" s="76"/>
      <c r="U129" s="76"/>
      <c r="V129" s="76"/>
      <c r="W129" s="76"/>
      <c r="X129" s="76"/>
      <c r="Y129" s="76"/>
      <c r="Z129" s="76"/>
      <c r="AA129" s="80"/>
      <c r="AB129" s="80"/>
      <c r="AC129" s="80"/>
    </row>
    <row r="130" spans="1:29" ht="13.2" x14ac:dyDescent="0.25">
      <c r="A130" s="128" t="s">
        <v>152</v>
      </c>
      <c r="B130" s="97">
        <v>4</v>
      </c>
      <c r="C130" s="98">
        <f>63.7/1000</f>
        <v>6.3700000000000007E-2</v>
      </c>
      <c r="D130" s="99">
        <f ca="1">IFERROR(__xludf.DUMMYFUNCTION("$C124*IMPORTRANGE(""https://docs.google.com/spreadsheets/d/1xsp01RMmkav9iTy39Zaj_7tE9677EGlOJ14KU9TZn7I/"",""1985-2003!H2543"")"),0.0553553)</f>
        <v>5.5355300000000003E-2</v>
      </c>
      <c r="E130" s="99">
        <f ca="1">IFERROR(__xludf.DUMMYFUNCTION("$C124*IMPORTRANGE(""https://docs.google.com/spreadsheets/d/1xsp01RMmkav9iTy39Zaj_7tE9677EGlOJ14KU9TZn7I/"",""1985-2003!T2543"")"),0.0431249)</f>
        <v>4.3124900000000001E-2</v>
      </c>
      <c r="F130" s="99">
        <f ca="1">IFERROR(__xludf.DUMMYFUNCTION("$C124*IMPORTRANGE(""https://docs.google.com/spreadsheets/d/1xsp01RMmkav9iTy39Zaj_7tE9677EGlOJ14KU9TZn7I/"",""1985-2003!AC2543"")"),6.584669)</f>
        <v>6.5846689999999999</v>
      </c>
      <c r="G130" s="128" t="s">
        <v>8</v>
      </c>
      <c r="H130" s="76"/>
      <c r="I130" s="76"/>
      <c r="J130" s="76"/>
      <c r="K130" s="77"/>
      <c r="L130" s="78"/>
      <c r="M130" s="79"/>
      <c r="N130" s="79"/>
      <c r="O130" s="79"/>
      <c r="P130" s="79"/>
      <c r="Q130" s="77"/>
      <c r="R130" s="76"/>
      <c r="S130" s="76"/>
      <c r="T130" s="76"/>
      <c r="U130" s="76"/>
      <c r="V130" s="76"/>
      <c r="W130" s="76"/>
      <c r="X130" s="76"/>
      <c r="Y130" s="76"/>
      <c r="Z130" s="76"/>
      <c r="AA130" s="80"/>
      <c r="AB130" s="80"/>
      <c r="AC130" s="80"/>
    </row>
    <row r="131" spans="1:29" ht="13.2" x14ac:dyDescent="0.25">
      <c r="A131" s="126" t="s">
        <v>153</v>
      </c>
      <c r="B131" s="87">
        <v>2</v>
      </c>
      <c r="C131" s="88">
        <v>0</v>
      </c>
      <c r="D131" s="96">
        <f ca="1">IFERROR(__xludf.DUMMYFUNCTION("$C125*IMPORTRANGE(""https://docs.google.com/spreadsheets/d/1xsp01RMmkav9iTy39Zaj_7tE9677EGlOJ14KU9TZn7I/"",""1985-2003!H2566"")"),0)</f>
        <v>0</v>
      </c>
      <c r="E131" s="96">
        <f ca="1">IFERROR(__xludf.DUMMYFUNCTION("$C125*IMPORTRANGE(""https://docs.google.com/spreadsheets/d/1xsp01RMmkav9iTy39Zaj_7tE9677EGlOJ14KU9TZn7I/"",""1985-2003!T2566"")"),0)</f>
        <v>0</v>
      </c>
      <c r="F131" s="96">
        <f ca="1">IFERROR(__xludf.DUMMYFUNCTION("$C125*IMPORTRANGE(""https://docs.google.com/spreadsheets/d/1xsp01RMmkav9iTy39Zaj_7tE9677EGlOJ14KU9TZn7I/"",""1985-2003!AC2566"")"),0)</f>
        <v>0</v>
      </c>
      <c r="G131" s="126" t="s">
        <v>8</v>
      </c>
      <c r="H131" s="76"/>
      <c r="I131" s="76"/>
      <c r="J131" s="76"/>
      <c r="K131" s="77"/>
      <c r="L131" s="78"/>
      <c r="M131" s="79"/>
      <c r="N131" s="79"/>
      <c r="O131" s="79"/>
      <c r="P131" s="79"/>
      <c r="Q131" s="77"/>
      <c r="R131" s="76"/>
      <c r="S131" s="76"/>
      <c r="T131" s="76"/>
      <c r="U131" s="76"/>
      <c r="V131" s="76"/>
      <c r="W131" s="76"/>
      <c r="X131" s="76"/>
      <c r="Y131" s="76"/>
      <c r="Z131" s="76"/>
      <c r="AA131" s="80"/>
      <c r="AB131" s="80"/>
      <c r="AC131" s="80"/>
    </row>
    <row r="132" spans="1:29" ht="13.2" x14ac:dyDescent="0.25">
      <c r="A132" s="128" t="s">
        <v>154</v>
      </c>
      <c r="B132" s="97">
        <v>4</v>
      </c>
      <c r="C132" s="98">
        <f>5583/1000</f>
        <v>5.5830000000000002</v>
      </c>
      <c r="D132" s="99">
        <f ca="1">IFERROR(__xludf.DUMMYFUNCTION("$C126*IMPORTRANGE(""https://docs.google.com/spreadsheets/d/1xsp01RMmkav9iTy39Zaj_7tE9677EGlOJ14KU9TZn7I/"",""1985-2003!H2589"")"),4.6657131)</f>
        <v>4.6657130999999996</v>
      </c>
      <c r="E132" s="99">
        <f ca="1">IFERROR(__xludf.DUMMYFUNCTION("$C126*IMPORTRANGE(""https://docs.google.com/spreadsheets/d/1xsp01RMmkav9iTy39Zaj_7tE9677EGlOJ14KU9TZn7I/"",""1985-2003!T2589"")"),3.67333485)</f>
        <v>3.6733348499999998</v>
      </c>
      <c r="F132" s="99">
        <f ca="1">IFERROR(__xludf.DUMMYFUNCTION("$C126*IMPORTRANGE(""https://docs.google.com/spreadsheets/d/1xsp01RMmkav9iTy39Zaj_7tE9677EGlOJ14KU9TZn7I/"",""1985-2003!AC2589"")"),573.792825)</f>
        <v>573.79282499999999</v>
      </c>
      <c r="G132" s="128" t="s">
        <v>8</v>
      </c>
      <c r="H132" s="76"/>
      <c r="I132" s="76"/>
      <c r="J132" s="76"/>
      <c r="K132" s="77"/>
      <c r="L132" s="78"/>
      <c r="M132" s="79"/>
      <c r="N132" s="79"/>
      <c r="O132" s="79"/>
      <c r="P132" s="79"/>
      <c r="Q132" s="77"/>
      <c r="R132" s="76"/>
      <c r="S132" s="76"/>
      <c r="T132" s="76"/>
      <c r="U132" s="76"/>
      <c r="V132" s="76"/>
      <c r="W132" s="76"/>
      <c r="X132" s="76"/>
      <c r="Y132" s="76"/>
      <c r="Z132" s="76"/>
      <c r="AA132" s="80"/>
      <c r="AB132" s="80"/>
      <c r="AC132" s="80"/>
    </row>
    <row r="133" spans="1:29" ht="13.2" x14ac:dyDescent="0.25">
      <c r="A133" s="126" t="s">
        <v>155</v>
      </c>
      <c r="B133" s="87">
        <v>4</v>
      </c>
      <c r="C133" s="88">
        <f>151.2/1000</f>
        <v>0.1512</v>
      </c>
      <c r="D133" s="96">
        <f ca="1">IFERROR(__xludf.DUMMYFUNCTION("$C127*IMPORTRANGE(""https://docs.google.com/spreadsheets/d/1xsp01RMmkav9iTy39Zaj_7tE9677EGlOJ14KU9TZn7I/"",""1985-2003!H2611"")"),0.12230568)</f>
        <v>0.12230568</v>
      </c>
      <c r="E133" s="96">
        <f ca="1">IFERROR(__xludf.DUMMYFUNCTION("$C127*IMPORTRANGE(""https://docs.google.com/spreadsheets/d/1xsp01RMmkav9iTy39Zaj_7tE9677EGlOJ14KU9TZn7I/"",""1985-2003!T2611"")"),0.09817416)</f>
        <v>9.8174159999999996E-2</v>
      </c>
      <c r="F133" s="96">
        <f ca="1">IFERROR(__xludf.DUMMYFUNCTION("$C127*IMPORTRANGE(""https://docs.google.com/spreadsheets/d/1xsp01RMmkav9iTy39Zaj_7tE9677EGlOJ14KU9TZn7I/"",""1985-2003!AC2611"")"),14.920416)</f>
        <v>14.920415999999999</v>
      </c>
      <c r="G133" s="126" t="s">
        <v>8</v>
      </c>
      <c r="H133" s="76"/>
      <c r="I133" s="76"/>
      <c r="J133" s="76"/>
      <c r="K133" s="77"/>
      <c r="L133" s="78"/>
      <c r="M133" s="79"/>
      <c r="N133" s="79"/>
      <c r="O133" s="79"/>
      <c r="P133" s="79"/>
      <c r="Q133" s="77"/>
      <c r="R133" s="76"/>
      <c r="S133" s="76"/>
      <c r="T133" s="76"/>
      <c r="U133" s="76"/>
      <c r="V133" s="76"/>
      <c r="W133" s="76"/>
      <c r="X133" s="76"/>
      <c r="Y133" s="76"/>
      <c r="Z133" s="76"/>
      <c r="AA133" s="80"/>
      <c r="AB133" s="80"/>
      <c r="AC133" s="80"/>
    </row>
    <row r="134" spans="1:29" ht="13.2" x14ac:dyDescent="0.25">
      <c r="A134" s="128" t="s">
        <v>156</v>
      </c>
      <c r="B134" s="97">
        <v>5</v>
      </c>
      <c r="C134" s="98">
        <f>13510.3/1000</f>
        <v>13.510299999999999</v>
      </c>
      <c r="D134" s="99">
        <f ca="1">IFERROR(__xludf.DUMMYFUNCTION("$C128*IMPORTRANGE(""https://docs.google.com/spreadsheets/d/1xsp01RMmkav9iTy39Zaj_7tE9677EGlOJ14KU9TZn7I/"",""1985-2003!H2635"")"),10.898083495)</f>
        <v>10.898083495</v>
      </c>
      <c r="E134" s="99">
        <f ca="1">IFERROR(__xludf.DUMMYFUNCTION("$C128*IMPORTRANGE(""https://docs.google.com/spreadsheets/d/1xsp01RMmkav9iTy39Zaj_7tE9677EGlOJ14KU9TZn7I/"",""1985-2003!T2635"")"),8.76818469999999)</f>
        <v>8.7681846999999902</v>
      </c>
      <c r="F134" s="99">
        <f ca="1">IFERROR(__xludf.DUMMYFUNCTION("$C128*IMPORTRANGE(""https://docs.google.com/spreadsheets/d/1xsp01RMmkav9iTy39Zaj_7tE9677EGlOJ14KU9TZn7I/"",""1985-2003!AC2635"")"),1352.78633899999)</f>
        <v>1352.78633899999</v>
      </c>
      <c r="G134" s="128" t="s">
        <v>8</v>
      </c>
      <c r="H134" s="76"/>
      <c r="I134" s="76"/>
      <c r="J134" s="76"/>
      <c r="K134" s="77"/>
      <c r="L134" s="78"/>
      <c r="M134" s="79"/>
      <c r="N134" s="79"/>
      <c r="O134" s="79"/>
      <c r="P134" s="79"/>
      <c r="Q134" s="77"/>
      <c r="R134" s="76"/>
      <c r="S134" s="76"/>
      <c r="T134" s="76"/>
      <c r="U134" s="76"/>
      <c r="V134" s="76"/>
      <c r="W134" s="76"/>
      <c r="X134" s="76"/>
      <c r="Y134" s="76"/>
      <c r="Z134" s="76"/>
      <c r="AA134" s="80"/>
      <c r="AB134" s="80"/>
      <c r="AC134" s="80"/>
    </row>
    <row r="135" spans="1:29" ht="13.2" x14ac:dyDescent="0.25">
      <c r="A135" s="126" t="s">
        <v>157</v>
      </c>
      <c r="B135" s="87">
        <v>4</v>
      </c>
      <c r="C135" s="88">
        <f>88.1/1000</f>
        <v>8.8099999999999998E-2</v>
      </c>
      <c r="D135" s="96">
        <f ca="1">IFERROR(__xludf.DUMMYFUNCTION("$C129*IMPORTRANGE(""https://docs.google.com/spreadsheets/d/1xsp01RMmkav9iTy39Zaj_7tE9677EGlOJ14KU9TZn7I/"",""1985-2003!H2658"")"),0.070132005)</f>
        <v>7.0132004999999997E-2</v>
      </c>
      <c r="E135" s="96">
        <f ca="1">IFERROR(__xludf.DUMMYFUNCTION("$C129*IMPORTRANGE(""https://docs.google.com/spreadsheets/d/1xsp01RMmkav9iTy39Zaj_7tE9677EGlOJ14KU9TZn7I/"",""1985-2003!T2658"")"),0.056168155)</f>
        <v>5.6168154999999997E-2</v>
      </c>
      <c r="F135" s="96">
        <f ca="1">IFERROR(__xludf.DUMMYFUNCTION("$C129*IMPORTRANGE(""https://docs.google.com/spreadsheets/d/1xsp01RMmkav9iTy39Zaj_7tE9677EGlOJ14KU9TZn7I/"",""1985-2003!AC2658"")"),8.7188165)</f>
        <v>8.7188165000000009</v>
      </c>
      <c r="G135" s="126" t="s">
        <v>8</v>
      </c>
      <c r="H135" s="76"/>
      <c r="I135" s="76"/>
      <c r="J135" s="76"/>
      <c r="K135" s="77"/>
      <c r="L135" s="78"/>
      <c r="M135" s="79"/>
      <c r="N135" s="79"/>
      <c r="O135" s="79"/>
      <c r="P135" s="79"/>
      <c r="Q135" s="77"/>
      <c r="R135" s="76"/>
      <c r="S135" s="76"/>
      <c r="T135" s="76"/>
      <c r="U135" s="76"/>
      <c r="V135" s="76"/>
      <c r="W135" s="76"/>
      <c r="X135" s="76"/>
      <c r="Y135" s="76"/>
      <c r="Z135" s="76"/>
      <c r="AA135" s="80"/>
      <c r="AB135" s="80"/>
      <c r="AC135" s="80"/>
    </row>
    <row r="136" spans="1:29" ht="13.2" x14ac:dyDescent="0.25">
      <c r="A136" s="128" t="s">
        <v>158</v>
      </c>
      <c r="B136" s="97">
        <v>6</v>
      </c>
      <c r="C136" s="98">
        <f>328.1/1000</f>
        <v>0.3281</v>
      </c>
      <c r="D136" s="99">
        <f ca="1">IFERROR(__xludf.DUMMYFUNCTION("$C130*IMPORTRANGE(""https://docs.google.com/spreadsheets/d/1xsp01RMmkav9iTy39Zaj_7tE9677EGlOJ14KU9TZn7I/"",""1985-2003!H2680"")"),0.25490089)</f>
        <v>0.25490088999999999</v>
      </c>
      <c r="E136" s="99">
        <f ca="1">IFERROR(__xludf.DUMMYFUNCTION("$C130*IMPORTRANGE(""https://docs.google.com/spreadsheets/d/1xsp01RMmkav9iTy39Zaj_7tE9677EGlOJ14KU9TZn7I/"",""1985-2003!T2680"")"),0.2040782)</f>
        <v>0.20407819999999999</v>
      </c>
      <c r="F136" s="99">
        <f ca="1">IFERROR(__xludf.DUMMYFUNCTION("$C130*IMPORTRANGE(""https://docs.google.com/spreadsheets/d/1xsp01RMmkav9iTy39Zaj_7tE9677EGlOJ14KU9TZn7I/"",""1985-2003!AC2680"")"),32.065213)</f>
        <v>32.065213</v>
      </c>
      <c r="G136" s="128" t="s">
        <v>8</v>
      </c>
      <c r="H136" s="76"/>
      <c r="I136" s="76"/>
      <c r="J136" s="76"/>
      <c r="K136" s="77"/>
      <c r="L136" s="78"/>
      <c r="M136" s="79"/>
      <c r="N136" s="79"/>
      <c r="O136" s="79"/>
      <c r="P136" s="79"/>
      <c r="Q136" s="77"/>
      <c r="R136" s="76"/>
      <c r="S136" s="76"/>
      <c r="T136" s="76"/>
      <c r="U136" s="76"/>
      <c r="V136" s="76"/>
      <c r="W136" s="76"/>
      <c r="X136" s="76"/>
      <c r="Y136" s="76"/>
      <c r="Z136" s="76"/>
      <c r="AA136" s="80"/>
      <c r="AB136" s="80"/>
      <c r="AC136" s="80"/>
    </row>
    <row r="137" spans="1:29" ht="13.2" x14ac:dyDescent="0.25">
      <c r="A137" s="126" t="s">
        <v>159</v>
      </c>
      <c r="B137" s="87">
        <v>7</v>
      </c>
      <c r="C137" s="88">
        <f>264.5/1000</f>
        <v>0.26450000000000001</v>
      </c>
      <c r="D137" s="96">
        <f ca="1">IFERROR(__xludf.DUMMYFUNCTION("$C131*IMPORTRANGE(""https://docs.google.com/spreadsheets/d/1xsp01RMmkav9iTy39Zaj_7tE9677EGlOJ14KU9TZn7I/"",""1985-2003!H2703"")"),0.21093875)</f>
        <v>0.21093875000000001</v>
      </c>
      <c r="E137" s="96">
        <f ca="1">IFERROR(__xludf.DUMMYFUNCTION("$C131*IMPORTRANGE(""https://docs.google.com/spreadsheets/d/1xsp01RMmkav9iTy39Zaj_7tE9677EGlOJ14KU9TZn7I/"",""1985-2003!T2703"")"),0.16756075)</f>
        <v>0.16756075000000001</v>
      </c>
      <c r="F137" s="96">
        <f ca="1">IFERROR(__xludf.DUMMYFUNCTION("$C131*IMPORTRANGE(""https://docs.google.com/spreadsheets/d/1xsp01RMmkav9iTy39Zaj_7tE9677EGlOJ14KU9TZn7I/"",""1985-2003!AC2703"")"),26.008285)</f>
        <v>26.008285000000001</v>
      </c>
      <c r="G137" s="126" t="s">
        <v>8</v>
      </c>
      <c r="H137" s="76"/>
      <c r="I137" s="76"/>
      <c r="J137" s="76"/>
      <c r="K137" s="77"/>
      <c r="L137" s="78"/>
      <c r="M137" s="79"/>
      <c r="N137" s="79"/>
      <c r="O137" s="79"/>
      <c r="P137" s="79"/>
      <c r="Q137" s="77"/>
      <c r="R137" s="76"/>
      <c r="S137" s="76"/>
      <c r="T137" s="76"/>
      <c r="U137" s="76"/>
      <c r="V137" s="76"/>
      <c r="W137" s="76"/>
      <c r="X137" s="76"/>
      <c r="Y137" s="76"/>
      <c r="Z137" s="76"/>
      <c r="AA137" s="80"/>
      <c r="AB137" s="80"/>
      <c r="AC137" s="80"/>
    </row>
    <row r="138" spans="1:29" ht="13.2" x14ac:dyDescent="0.25">
      <c r="A138" s="129" t="s">
        <v>160</v>
      </c>
      <c r="B138" s="100">
        <v>7</v>
      </c>
      <c r="C138" s="101">
        <f>368.7/1000</f>
        <v>0.36869999999999997</v>
      </c>
      <c r="D138" s="102">
        <f ca="1">IFERROR(__xludf.DUMMYFUNCTION("$C132*IMPORTRANGE(""https://docs.google.com/spreadsheets/d/1xsp01RMmkav9iTy39Zaj_7tE9677EGlOJ14KU9TZn7I/"",""1985-2003!H2726"")"),0.29986371)</f>
        <v>0.29986371000000001</v>
      </c>
      <c r="E138" s="102">
        <f ca="1">IFERROR(__xludf.DUMMYFUNCTION("$C132*IMPORTRANGE(""https://docs.google.com/spreadsheets/d/1xsp01RMmkav9iTy39Zaj_7tE9677EGlOJ14KU9TZn7I/"",""1985-2003!T2726"")"),0.236152349999999)</f>
        <v>0.23615234999999901</v>
      </c>
      <c r="F138" s="102">
        <f ca="1">IFERROR(__xludf.DUMMYFUNCTION("$C132*IMPORTRANGE(""https://docs.google.com/spreadsheets/d/1xsp01RMmkav9iTy39Zaj_7tE9677EGlOJ14KU9TZn7I/"",""1985-2003!AC2726"")"),36.932679)</f>
        <v>36.932679</v>
      </c>
      <c r="G138" s="129" t="s">
        <v>8</v>
      </c>
      <c r="H138" s="76"/>
      <c r="I138" s="76"/>
      <c r="J138" s="76"/>
      <c r="K138" s="77"/>
      <c r="L138" s="78"/>
      <c r="M138" s="79"/>
      <c r="N138" s="79"/>
      <c r="O138" s="79"/>
      <c r="P138" s="79"/>
      <c r="Q138" s="77"/>
      <c r="R138" s="76"/>
      <c r="S138" s="76"/>
      <c r="T138" s="76"/>
      <c r="U138" s="76"/>
      <c r="V138" s="76"/>
      <c r="W138" s="76"/>
      <c r="X138" s="76"/>
      <c r="Y138" s="76"/>
      <c r="Z138" s="76"/>
      <c r="AA138" s="80"/>
      <c r="AB138" s="80"/>
      <c r="AC138" s="80"/>
    </row>
    <row r="139" spans="1:29" ht="13.2" x14ac:dyDescent="0.25">
      <c r="A139" s="120">
        <v>1995</v>
      </c>
      <c r="B139" s="121"/>
      <c r="C139" s="122"/>
      <c r="D139" s="122"/>
      <c r="E139" s="122"/>
      <c r="F139" s="122"/>
      <c r="G139" s="123"/>
      <c r="H139" s="76"/>
      <c r="I139" s="76"/>
      <c r="J139" s="76"/>
      <c r="K139" s="77"/>
      <c r="L139" s="78"/>
      <c r="M139" s="79"/>
      <c r="N139" s="79"/>
      <c r="O139" s="79"/>
      <c r="P139" s="79"/>
      <c r="Q139" s="77"/>
      <c r="R139" s="76"/>
      <c r="S139" s="76"/>
      <c r="T139" s="76"/>
      <c r="U139" s="76"/>
      <c r="V139" s="76"/>
      <c r="W139" s="76"/>
      <c r="X139" s="76"/>
      <c r="Y139" s="76"/>
      <c r="Z139" s="76"/>
      <c r="AA139" s="80"/>
      <c r="AB139" s="80"/>
      <c r="AC139" s="80"/>
    </row>
    <row r="140" spans="1:29" ht="13.2" x14ac:dyDescent="0.25">
      <c r="A140" s="124" t="s">
        <v>161</v>
      </c>
      <c r="B140" s="84">
        <v>5</v>
      </c>
      <c r="C140" s="85">
        <f>48.5/1000</f>
        <v>4.8500000000000001E-2</v>
      </c>
      <c r="D140" s="95">
        <f ca="1">IFERROR(__xludf.DUMMYFUNCTION("$C134*IMPORTRANGE(""https://docs.google.com/spreadsheets/d/1xsp01RMmkav9iTy39Zaj_7tE9677EGlOJ14KU9TZn7I/"",""1985-2003!H2750"")"),0.038606)</f>
        <v>3.8606000000000001E-2</v>
      </c>
      <c r="E140" s="95">
        <f ca="1">IFERROR(__xludf.DUMMYFUNCTION("$C134*IMPORTRANGE(""https://docs.google.com/spreadsheets/d/1xsp01RMmkav9iTy39Zaj_7tE9677EGlOJ14KU9TZn7I/"",""1985-2003!T2750"")"),0.0308945)</f>
        <v>3.0894499999999998E-2</v>
      </c>
      <c r="F140" s="95">
        <f ca="1">IFERROR(__xludf.DUMMYFUNCTION("$C134*IMPORTRANGE(""https://docs.google.com/spreadsheets/d/1xsp01RMmkav9iTy39Zaj_7tE9677EGlOJ14KU9TZn7I/"",""1985-2003!AC2750"")"),4.83351)</f>
        <v>4.8335100000000004</v>
      </c>
      <c r="G140" s="124" t="s">
        <v>8</v>
      </c>
      <c r="H140" s="76"/>
      <c r="I140" s="76"/>
      <c r="J140" s="76"/>
      <c r="K140" s="77"/>
      <c r="L140" s="78"/>
      <c r="M140" s="79"/>
      <c r="N140" s="79"/>
      <c r="O140" s="79"/>
      <c r="P140" s="79"/>
      <c r="Q140" s="77"/>
      <c r="R140" s="76"/>
      <c r="S140" s="76"/>
      <c r="T140" s="76"/>
      <c r="U140" s="76"/>
      <c r="V140" s="76"/>
      <c r="W140" s="76"/>
      <c r="X140" s="76"/>
      <c r="Y140" s="76"/>
      <c r="Z140" s="76"/>
      <c r="AA140" s="80"/>
      <c r="AB140" s="80"/>
      <c r="AC140" s="80"/>
    </row>
    <row r="141" spans="1:29" ht="13.2" x14ac:dyDescent="0.25">
      <c r="A141" s="128" t="s">
        <v>162</v>
      </c>
      <c r="B141" s="97">
        <v>2</v>
      </c>
      <c r="C141" s="98">
        <f>122.4/1000</f>
        <v>0.12240000000000001</v>
      </c>
      <c r="D141" s="99">
        <f ca="1">IFERROR(__xludf.DUMMYFUNCTION("$C135*IMPORTRANGE(""https://docs.google.com/spreadsheets/d/1xsp01RMmkav9iTy39Zaj_7tE9677EGlOJ14KU9TZn7I/"",""1985-2003!H2771"")"),0.09631044)</f>
        <v>9.6310439999999997E-2</v>
      </c>
      <c r="E141" s="99">
        <f ca="1">IFERROR(__xludf.DUMMYFUNCTION("$C135*IMPORTRANGE(""https://docs.google.com/spreadsheets/d/1xsp01RMmkav9iTy39Zaj_7tE9677EGlOJ14KU9TZn7I/"",""1985-2003!T2771"")"),0.0776322)</f>
        <v>7.7632199999999998E-2</v>
      </c>
      <c r="F141" s="99">
        <f ca="1">IFERROR(__xludf.DUMMYFUNCTION("$C135*IMPORTRANGE(""https://docs.google.com/spreadsheets/d/1xsp01RMmkav9iTy39Zaj_7tE9677EGlOJ14KU9TZn7I/"",""1985-2003!AC2771"")"),12.047832)</f>
        <v>12.047832</v>
      </c>
      <c r="G141" s="128" t="s">
        <v>8</v>
      </c>
      <c r="H141" s="76"/>
      <c r="I141" s="76"/>
      <c r="J141" s="76"/>
      <c r="K141" s="77"/>
      <c r="L141" s="78"/>
      <c r="M141" s="79"/>
      <c r="N141" s="79"/>
      <c r="O141" s="79"/>
      <c r="P141" s="79"/>
      <c r="Q141" s="77"/>
      <c r="R141" s="76"/>
      <c r="S141" s="76"/>
      <c r="T141" s="76"/>
      <c r="U141" s="76"/>
      <c r="V141" s="76"/>
      <c r="W141" s="76"/>
      <c r="X141" s="76"/>
      <c r="Y141" s="76"/>
      <c r="Z141" s="76"/>
      <c r="AA141" s="80"/>
      <c r="AB141" s="80"/>
      <c r="AC141" s="80"/>
    </row>
    <row r="142" spans="1:29" ht="13.2" x14ac:dyDescent="0.25">
      <c r="A142" s="126" t="s">
        <v>163</v>
      </c>
      <c r="B142" s="87">
        <v>6</v>
      </c>
      <c r="C142" s="88">
        <f>2682.6/1000</f>
        <v>2.6825999999999999</v>
      </c>
      <c r="D142" s="96">
        <f ca="1">IFERROR(__xludf.DUMMYFUNCTION("$C136*IMPORTRANGE(""https://docs.google.com/spreadsheets/d/1xsp01RMmkav9iTy39Zaj_7tE9677EGlOJ14KU9TZn7I/"",""1985-2003!H2795"")"),2.02053432)</f>
        <v>2.0205343199999999</v>
      </c>
      <c r="E142" s="96">
        <f ca="1">IFERROR(__xludf.DUMMYFUNCTION("$C136*IMPORTRANGE(""https://docs.google.com/spreadsheets/d/1xsp01RMmkav9iTy39Zaj_7tE9677EGlOJ14KU9TZn7I/"",""1985-2003!T2795"")"),1.6819902)</f>
        <v>1.6819902</v>
      </c>
      <c r="F142" s="96">
        <f ca="1">IFERROR(__xludf.DUMMYFUNCTION("$C136*IMPORTRANGE(""https://docs.google.com/spreadsheets/d/1xsp01RMmkav9iTy39Zaj_7tE9677EGlOJ14KU9TZn7I/"",""1985-2003!AC2795"")"),240.414612)</f>
        <v>240.41461200000001</v>
      </c>
      <c r="G142" s="126" t="s">
        <v>8</v>
      </c>
      <c r="H142" s="76"/>
      <c r="I142" s="76"/>
      <c r="J142" s="76"/>
      <c r="K142" s="77"/>
      <c r="L142" s="78"/>
      <c r="M142" s="79"/>
      <c r="N142" s="79"/>
      <c r="O142" s="79"/>
      <c r="P142" s="79"/>
      <c r="Q142" s="77"/>
      <c r="R142" s="76"/>
      <c r="S142" s="76"/>
      <c r="T142" s="76"/>
      <c r="U142" s="76"/>
      <c r="V142" s="76"/>
      <c r="W142" s="76"/>
      <c r="X142" s="76"/>
      <c r="Y142" s="76"/>
      <c r="Z142" s="76"/>
      <c r="AA142" s="80"/>
      <c r="AB142" s="80"/>
      <c r="AC142" s="80"/>
    </row>
    <row r="143" spans="1:29" ht="13.2" x14ac:dyDescent="0.25">
      <c r="A143" s="128" t="s">
        <v>164</v>
      </c>
      <c r="B143" s="97">
        <v>6</v>
      </c>
      <c r="C143" s="98">
        <f>490.2/1000</f>
        <v>0.49019999999999997</v>
      </c>
      <c r="D143" s="99">
        <f ca="1">IFERROR(__xludf.DUMMYFUNCTION("$C137*IMPORTRANGE(""https://docs.google.com/spreadsheets/d/1xsp01RMmkav9iTy39Zaj_7tE9677EGlOJ14KU9TZn7I/"",""1985-2003!H2816"")"),0.36215976)</f>
        <v>0.36215976</v>
      </c>
      <c r="E143" s="99">
        <f ca="1">IFERROR(__xludf.DUMMYFUNCTION("$C137*IMPORTRANGE(""https://docs.google.com/spreadsheets/d/1xsp01RMmkav9iTy39Zaj_7tE9677EGlOJ14KU9TZn7I/"",""1985-2003!T2816"")"),0.30475734)</f>
        <v>0.30475733999999999</v>
      </c>
      <c r="F143" s="99">
        <f ca="1">IFERROR(__xludf.DUMMYFUNCTION("$C137*IMPORTRANGE(""https://docs.google.com/spreadsheets/d/1xsp01RMmkav9iTy39Zaj_7tE9677EGlOJ14KU9TZn7I/"",""1985-2003!AC2816"")"),41.002779)</f>
        <v>41.002778999999997</v>
      </c>
      <c r="G143" s="128" t="s">
        <v>8</v>
      </c>
      <c r="H143" s="76"/>
      <c r="I143" s="76"/>
      <c r="J143" s="76"/>
      <c r="K143" s="77"/>
      <c r="L143" s="78"/>
      <c r="M143" s="79"/>
      <c r="N143" s="79"/>
      <c r="O143" s="79"/>
      <c r="P143" s="79"/>
      <c r="Q143" s="77"/>
      <c r="R143" s="76"/>
      <c r="S143" s="76"/>
      <c r="T143" s="76"/>
      <c r="U143" s="76"/>
      <c r="V143" s="76"/>
      <c r="W143" s="76"/>
      <c r="X143" s="76"/>
      <c r="Y143" s="76"/>
      <c r="Z143" s="76"/>
      <c r="AA143" s="80"/>
      <c r="AB143" s="80"/>
      <c r="AC143" s="80"/>
    </row>
    <row r="144" spans="1:29" ht="13.2" x14ac:dyDescent="0.25">
      <c r="A144" s="126" t="s">
        <v>165</v>
      </c>
      <c r="B144" s="87">
        <v>6</v>
      </c>
      <c r="C144" s="88">
        <f>88.5/1000</f>
        <v>8.8499999999999995E-2</v>
      </c>
      <c r="D144" s="96">
        <f ca="1">IFERROR(__xludf.DUMMYFUNCTION("$C138*IMPORTRANGE(""https://docs.google.com/spreadsheets/d/1xsp01RMmkav9iTy39Zaj_7tE9677EGlOJ14KU9TZn7I/"",""1985-2003!H2840"")"),0.0661714499999999)</f>
        <v>6.6171449999999896E-2</v>
      </c>
      <c r="E144" s="96">
        <f ca="1">IFERROR(__xludf.DUMMYFUNCTION("$C138*IMPORTRANGE(""https://docs.google.com/spreadsheets/d/1xsp01RMmkav9iTy39Zaj_7tE9677EGlOJ14KU9TZn7I/"",""1985-2003!T2840"")"),0.0560116499999999)</f>
        <v>5.6011649999999899E-2</v>
      </c>
      <c r="F144" s="96">
        <f ca="1">IFERROR(__xludf.DUMMYFUNCTION("$C138*IMPORTRANGE(""https://docs.google.com/spreadsheets/d/1xsp01RMmkav9iTy39Zaj_7tE9677EGlOJ14KU9TZn7I/"",""1985-2003!AC2840"")"),7.48356)</f>
        <v>7.4835599999999998</v>
      </c>
      <c r="G144" s="126" t="s">
        <v>8</v>
      </c>
      <c r="H144" s="76"/>
      <c r="I144" s="76"/>
      <c r="J144" s="76"/>
      <c r="K144" s="77"/>
      <c r="L144" s="78"/>
      <c r="M144" s="79"/>
      <c r="N144" s="79"/>
      <c r="O144" s="79"/>
      <c r="P144" s="79"/>
      <c r="Q144" s="77"/>
      <c r="R144" s="76"/>
      <c r="S144" s="76"/>
      <c r="T144" s="76"/>
      <c r="U144" s="76"/>
      <c r="V144" s="76"/>
      <c r="W144" s="76"/>
      <c r="X144" s="76"/>
      <c r="Y144" s="76"/>
      <c r="Z144" s="76"/>
      <c r="AA144" s="80"/>
      <c r="AB144" s="80"/>
      <c r="AC144" s="80"/>
    </row>
    <row r="145" spans="1:29" ht="13.2" x14ac:dyDescent="0.25">
      <c r="A145" s="128" t="s">
        <v>166</v>
      </c>
      <c r="B145" s="97">
        <v>7</v>
      </c>
      <c r="C145" s="98">
        <f>464.8/1000</f>
        <v>0.46479999999999999</v>
      </c>
      <c r="D145" s="99">
        <f ca="1">IFERROR(__xludf.DUMMYFUNCTION("$C139*IMPORTRANGE(""https://docs.google.com/spreadsheets/d/1xsp01RMmkav9iTy39Zaj_7tE9677EGlOJ14KU9TZn7I/"",""1985-2003!H2863"")"),0.344625959999999)</f>
        <v>0.34462595999999901</v>
      </c>
      <c r="E145" s="99">
        <f ca="1">IFERROR(__xludf.DUMMYFUNCTION("$C139*IMPORTRANGE(""https://docs.google.com/spreadsheets/d/1xsp01RMmkav9iTy39Zaj_7tE9677EGlOJ14KU9TZn7I/"",""1985-2003!T2863"")"),0.29149932)</f>
        <v>0.29149932000000001</v>
      </c>
      <c r="F145" s="99">
        <f ca="1">IFERROR(__xludf.DUMMYFUNCTION("$C139*IMPORTRANGE(""https://docs.google.com/spreadsheets/d/1xsp01RMmkav9iTy39Zaj_7tE9677EGlOJ14KU9TZn7I/"",""1985-2003!AC2863"")"),39.296516)</f>
        <v>39.296515999999997</v>
      </c>
      <c r="G145" s="128" t="s">
        <v>8</v>
      </c>
      <c r="H145" s="76"/>
      <c r="I145" s="76"/>
      <c r="J145" s="76"/>
      <c r="K145" s="77"/>
      <c r="L145" s="78"/>
      <c r="M145" s="79"/>
      <c r="N145" s="79"/>
      <c r="O145" s="79"/>
      <c r="P145" s="79"/>
      <c r="Q145" s="77"/>
      <c r="R145" s="76"/>
      <c r="S145" s="76"/>
      <c r="T145" s="76"/>
      <c r="U145" s="76"/>
      <c r="V145" s="76"/>
      <c r="W145" s="76"/>
      <c r="X145" s="76"/>
      <c r="Y145" s="76"/>
      <c r="Z145" s="76"/>
      <c r="AA145" s="80"/>
      <c r="AB145" s="80"/>
      <c r="AC145" s="80"/>
    </row>
    <row r="146" spans="1:29" ht="13.2" x14ac:dyDescent="0.25">
      <c r="A146" s="126" t="s">
        <v>167</v>
      </c>
      <c r="B146" s="87">
        <v>5</v>
      </c>
      <c r="C146" s="88">
        <f>490.8/1000</f>
        <v>0.49080000000000001</v>
      </c>
      <c r="D146" s="96">
        <f ca="1">IFERROR(__xludf.DUMMYFUNCTION("$C140*IMPORTRANGE(""https://docs.google.com/spreadsheets/d/1xsp01RMmkav9iTy39Zaj_7tE9677EGlOJ14KU9TZn7I/"",""1985-2003!H2885"")"),0.35970732)</f>
        <v>0.35970732</v>
      </c>
      <c r="E146" s="96">
        <f ca="1">IFERROR(__xludf.DUMMYFUNCTION("$C140*IMPORTRANGE(""https://docs.google.com/spreadsheets/d/1xsp01RMmkav9iTy39Zaj_7tE9677EGlOJ14KU9TZn7I/"",""1985-2003!T2885"")"),0.30758436)</f>
        <v>0.30758436</v>
      </c>
      <c r="F146" s="96">
        <f ca="1">IFERROR(__xludf.DUMMYFUNCTION("$C140*IMPORTRANGE(""https://docs.google.com/spreadsheets/d/1xsp01RMmkav9iTy39Zaj_7tE9677EGlOJ14KU9TZn7I/"",""1985-2003!AC2885"")"),43.028436)</f>
        <v>43.028435999999999</v>
      </c>
      <c r="G146" s="126" t="s">
        <v>8</v>
      </c>
      <c r="H146" s="76"/>
      <c r="I146" s="76"/>
      <c r="J146" s="76"/>
      <c r="K146" s="77"/>
      <c r="L146" s="78"/>
      <c r="M146" s="79"/>
      <c r="N146" s="79"/>
      <c r="O146" s="79"/>
      <c r="P146" s="79"/>
      <c r="Q146" s="77"/>
      <c r="R146" s="76"/>
      <c r="S146" s="76"/>
      <c r="T146" s="76"/>
      <c r="U146" s="76"/>
      <c r="V146" s="76"/>
      <c r="W146" s="76"/>
      <c r="X146" s="76"/>
      <c r="Y146" s="76"/>
      <c r="Z146" s="76"/>
      <c r="AA146" s="80"/>
      <c r="AB146" s="80"/>
      <c r="AC146" s="80"/>
    </row>
    <row r="147" spans="1:29" ht="13.2" x14ac:dyDescent="0.25">
      <c r="A147" s="128" t="s">
        <v>168</v>
      </c>
      <c r="B147" s="97">
        <v>7</v>
      </c>
      <c r="C147" s="98">
        <f>4159.8/1000</f>
        <v>4.1598000000000006</v>
      </c>
      <c r="D147" s="99">
        <f ca="1">IFERROR(__xludf.DUMMYFUNCTION("$C141*IMPORTRANGE(""https://docs.google.com/spreadsheets/d/1xsp01RMmkav9iTy39Zaj_7tE9677EGlOJ14KU9TZn7I/"",""1985-2003!H2909"")"),3.19098258)</f>
        <v>3.19098258</v>
      </c>
      <c r="E147" s="99">
        <f ca="1">IFERROR(__xludf.DUMMYFUNCTION("$C141*IMPORTRANGE(""https://docs.google.com/spreadsheets/d/1xsp01RMmkav9iTy39Zaj_7tE9677EGlOJ14KU9TZn7I/"",""1985-2003!T2909"")"),2.67953517)</f>
        <v>2.6795351699999999</v>
      </c>
      <c r="F147" s="99">
        <f ca="1">IFERROR(__xludf.DUMMYFUNCTION("$C141*IMPORTRANGE(""https://docs.google.com/spreadsheets/d/1xsp01RMmkav9iTy39Zaj_7tE9677EGlOJ14KU9TZn7I/"",""1985-2003!AC2909"")"),402.169464)</f>
        <v>402.169464</v>
      </c>
      <c r="G147" s="128" t="s">
        <v>8</v>
      </c>
      <c r="H147" s="76"/>
      <c r="I147" s="76"/>
      <c r="J147" s="76"/>
      <c r="K147" s="77"/>
      <c r="L147" s="78"/>
      <c r="M147" s="79"/>
      <c r="N147" s="79"/>
      <c r="O147" s="79"/>
      <c r="P147" s="79"/>
      <c r="Q147" s="77"/>
      <c r="R147" s="76"/>
      <c r="S147" s="76"/>
      <c r="T147" s="76"/>
      <c r="U147" s="76"/>
      <c r="V147" s="76"/>
      <c r="W147" s="76"/>
      <c r="X147" s="76"/>
      <c r="Y147" s="76"/>
      <c r="Z147" s="76"/>
      <c r="AA147" s="80"/>
      <c r="AB147" s="80"/>
      <c r="AC147" s="80"/>
    </row>
    <row r="148" spans="1:29" ht="13.2" x14ac:dyDescent="0.25">
      <c r="A148" s="126" t="s">
        <v>169</v>
      </c>
      <c r="B148" s="87">
        <v>6</v>
      </c>
      <c r="C148" s="88">
        <f>212.1/1000</f>
        <v>0.21209999999999998</v>
      </c>
      <c r="D148" s="96">
        <f ca="1">IFERROR(__xludf.DUMMYFUNCTION("$C142*IMPORTRANGE(""https://docs.google.com/spreadsheets/d/1xsp01RMmkav9iTy39Zaj_7tE9677EGlOJ14KU9TZn7I/"",""1985-2003!H2931"")"),0.16265949)</f>
        <v>0.16265948999999999</v>
      </c>
      <c r="E148" s="96">
        <f ca="1">IFERROR(__xludf.DUMMYFUNCTION("$C142*IMPORTRANGE(""https://docs.google.com/spreadsheets/d/1xsp01RMmkav9iTy39Zaj_7tE9677EGlOJ14KU9TZn7I/"",""1985-2003!T2931"")"),0.13661361)</f>
        <v>0.13661361</v>
      </c>
      <c r="F148" s="96">
        <f ca="1">IFERROR(__xludf.DUMMYFUNCTION("$C142*IMPORTRANGE(""https://docs.google.com/spreadsheets/d/1xsp01RMmkav9iTy39Zaj_7tE9677EGlOJ14KU9TZn7I/"",""1985-2003!AC2931"")"),21.2248469999999)</f>
        <v>21.224846999999901</v>
      </c>
      <c r="G148" s="126" t="s">
        <v>8</v>
      </c>
      <c r="H148" s="76"/>
      <c r="I148" s="76"/>
      <c r="J148" s="76"/>
      <c r="K148" s="77"/>
      <c r="L148" s="78"/>
      <c r="M148" s="79"/>
      <c r="N148" s="79"/>
      <c r="O148" s="79"/>
      <c r="P148" s="79"/>
      <c r="Q148" s="77"/>
      <c r="R148" s="76"/>
      <c r="S148" s="76"/>
      <c r="T148" s="76"/>
      <c r="U148" s="76"/>
      <c r="V148" s="76"/>
      <c r="W148" s="76"/>
      <c r="X148" s="76"/>
      <c r="Y148" s="76"/>
      <c r="Z148" s="76"/>
      <c r="AA148" s="80"/>
      <c r="AB148" s="80"/>
      <c r="AC148" s="80"/>
    </row>
    <row r="149" spans="1:29" ht="13.2" x14ac:dyDescent="0.25">
      <c r="A149" s="128" t="s">
        <v>170</v>
      </c>
      <c r="B149" s="97">
        <v>7</v>
      </c>
      <c r="C149" s="98">
        <f>1116.9/1000</f>
        <v>1.1169</v>
      </c>
      <c r="D149" s="99">
        <f ca="1">IFERROR(__xludf.DUMMYFUNCTION("$C143*IMPORTRANGE(""https://docs.google.com/spreadsheets/d/1xsp01RMmkav9iTy39Zaj_7tE9677EGlOJ14KU9TZn7I/"",""1985-2003!H2954"")"),0.833933385)</f>
        <v>0.83393338500000003</v>
      </c>
      <c r="E149" s="99">
        <f ca="1">IFERROR(__xludf.DUMMYFUNCTION("$C143*IMPORTRANGE(""https://docs.google.com/spreadsheets/d/1xsp01RMmkav9iTy39Zaj_7tE9677EGlOJ14KU9TZn7I/"",""1985-2003!T2954"")"),0.707556149999999)</f>
        <v>0.70755614999999905</v>
      </c>
      <c r="F149" s="99">
        <f ca="1">IFERROR(__xludf.DUMMYFUNCTION("$C143*IMPORTRANGE(""https://docs.google.com/spreadsheets/d/1xsp01RMmkav9iTy39Zaj_7tE9677EGlOJ14KU9TZn7I/"",""1985-2003!AC2954"")"),112.4885835)</f>
        <v>112.4885835</v>
      </c>
      <c r="G149" s="128" t="s">
        <v>8</v>
      </c>
      <c r="H149" s="76"/>
      <c r="I149" s="76"/>
      <c r="J149" s="76"/>
      <c r="K149" s="77"/>
      <c r="L149" s="78"/>
      <c r="M149" s="79"/>
      <c r="N149" s="79"/>
      <c r="O149" s="79"/>
      <c r="P149" s="79"/>
      <c r="Q149" s="77"/>
      <c r="R149" s="76"/>
      <c r="S149" s="76"/>
      <c r="T149" s="76"/>
      <c r="U149" s="76"/>
      <c r="V149" s="76"/>
      <c r="W149" s="76"/>
      <c r="X149" s="76"/>
      <c r="Y149" s="76"/>
      <c r="Z149" s="76"/>
      <c r="AA149" s="80"/>
      <c r="AB149" s="80"/>
      <c r="AC149" s="80"/>
    </row>
    <row r="150" spans="1:29" ht="13.2" x14ac:dyDescent="0.25">
      <c r="A150" s="126" t="s">
        <v>171</v>
      </c>
      <c r="B150" s="87">
        <v>11</v>
      </c>
      <c r="C150" s="88">
        <f>4207.4/1000</f>
        <v>4.2073999999999998</v>
      </c>
      <c r="D150" s="96">
        <f ca="1">IFERROR(__xludf.DUMMYFUNCTION("$C144*IMPORTRANGE(""https://docs.google.com/spreadsheets/d/1xsp01RMmkav9iTy39Zaj_7tE9677EGlOJ14KU9TZn7I/"",""1985-2003!H2977"")"),3.12504635)</f>
        <v>3.1250463499999999</v>
      </c>
      <c r="E150" s="96">
        <f ca="1">IFERROR(__xludf.DUMMYFUNCTION("$C144*IMPORTRANGE(""https://docs.google.com/spreadsheets/d/1xsp01RMmkav9iTy39Zaj_7tE9677EGlOJ14KU9TZn7I/"",""1985-2003!T2977"")"),2.69568118)</f>
        <v>2.6956811799999998</v>
      </c>
      <c r="F150" s="96">
        <f ca="1">IFERROR(__xludf.DUMMYFUNCTION("$C144*IMPORTRANGE(""https://docs.google.com/spreadsheets/d/1xsp01RMmkav9iTy39Zaj_7tE9677EGlOJ14KU9TZn7I/"",""1985-2003!AC2977"")"),427.913617)</f>
        <v>427.91361699999999</v>
      </c>
      <c r="G150" s="126" t="s">
        <v>8</v>
      </c>
      <c r="H150" s="76"/>
      <c r="I150" s="76"/>
      <c r="J150" s="76"/>
      <c r="K150" s="77"/>
      <c r="L150" s="78"/>
      <c r="M150" s="79"/>
      <c r="N150" s="79"/>
      <c r="O150" s="79"/>
      <c r="P150" s="79"/>
      <c r="Q150" s="77"/>
      <c r="R150" s="76"/>
      <c r="S150" s="76"/>
      <c r="T150" s="76"/>
      <c r="U150" s="76"/>
      <c r="V150" s="76"/>
      <c r="W150" s="76"/>
      <c r="X150" s="76"/>
      <c r="Y150" s="76"/>
      <c r="Z150" s="76"/>
      <c r="AA150" s="80"/>
      <c r="AB150" s="80"/>
      <c r="AC150" s="80"/>
    </row>
    <row r="151" spans="1:29" ht="13.2" x14ac:dyDescent="0.25">
      <c r="A151" s="129" t="s">
        <v>52</v>
      </c>
      <c r="B151" s="100">
        <v>16</v>
      </c>
      <c r="C151" s="101">
        <f>246.8/1000</f>
        <v>0.24680000000000002</v>
      </c>
      <c r="D151" s="102">
        <f ca="1">IFERROR(__xludf.DUMMYFUNCTION("$C145*IMPORTRANGE(""https://docs.google.com/spreadsheets/d/1xsp01RMmkav9iTy39Zaj_7tE9677EGlOJ14KU9TZn7I/"",""1985-2003!H2999"")"),0.1859638)</f>
        <v>0.18596380000000001</v>
      </c>
      <c r="E151" s="102">
        <f ca="1">IFERROR(__xludf.DUMMYFUNCTION("$C145*IMPORTRANGE(""https://docs.google.com/spreadsheets/d/1xsp01RMmkav9iTy39Zaj_7tE9677EGlOJ14KU9TZn7I/"",""1985-2003!T2999"")"),0.16034596)</f>
        <v>0.16034596000000001</v>
      </c>
      <c r="F151" s="102">
        <f ca="1">IFERROR(__xludf.DUMMYFUNCTION("$C145*IMPORTRANGE(""https://docs.google.com/spreadsheets/d/1xsp01RMmkav9iTy39Zaj_7tE9677EGlOJ14KU9TZn7I/"",""1985-2003!AC2999"")"),25.1119)</f>
        <v>25.111899999999999</v>
      </c>
      <c r="G151" s="129" t="s">
        <v>8</v>
      </c>
      <c r="H151" s="76"/>
      <c r="I151" s="76"/>
      <c r="J151" s="76"/>
      <c r="K151" s="77"/>
      <c r="L151" s="78"/>
      <c r="M151" s="79"/>
      <c r="N151" s="79"/>
      <c r="O151" s="79"/>
      <c r="P151" s="79"/>
      <c r="Q151" s="77"/>
      <c r="R151" s="76"/>
      <c r="S151" s="76"/>
      <c r="T151" s="76"/>
      <c r="U151" s="76"/>
      <c r="V151" s="76"/>
      <c r="W151" s="76"/>
      <c r="X151" s="76"/>
      <c r="Y151" s="76"/>
      <c r="Z151" s="76"/>
      <c r="AA151" s="80"/>
      <c r="AB151" s="80"/>
      <c r="AC151" s="80"/>
    </row>
    <row r="152" spans="1:29" ht="13.2" x14ac:dyDescent="0.25">
      <c r="A152" s="120">
        <v>1996</v>
      </c>
      <c r="B152" s="121"/>
      <c r="C152" s="122"/>
      <c r="D152" s="122"/>
      <c r="E152" s="122"/>
      <c r="F152" s="122"/>
      <c r="G152" s="123"/>
      <c r="H152" s="76"/>
      <c r="I152" s="76"/>
      <c r="J152" s="76"/>
      <c r="K152" s="77"/>
      <c r="L152" s="78"/>
      <c r="M152" s="79"/>
      <c r="N152" s="79"/>
      <c r="O152" s="79"/>
      <c r="P152" s="79"/>
      <c r="Q152" s="77"/>
      <c r="R152" s="76"/>
      <c r="S152" s="76"/>
      <c r="T152" s="76"/>
      <c r="U152" s="76"/>
      <c r="V152" s="76"/>
      <c r="W152" s="76"/>
      <c r="X152" s="76"/>
      <c r="Y152" s="76"/>
      <c r="Z152" s="76"/>
      <c r="AA152" s="80"/>
      <c r="AB152" s="80"/>
      <c r="AC152" s="80"/>
    </row>
    <row r="153" spans="1:29" ht="13.2" x14ac:dyDescent="0.25">
      <c r="A153" s="124" t="s">
        <v>172</v>
      </c>
      <c r="B153" s="84">
        <v>5</v>
      </c>
      <c r="C153" s="85">
        <f>7937.6/1000</f>
        <v>7.9376000000000007</v>
      </c>
      <c r="D153" s="95">
        <f ca="1">IFERROR(__xludf.DUMMYFUNCTION("$C147*IMPORTRANGE(""https://docs.google.com/spreadsheets/d/1xsp01RMmkav9iTy39Zaj_7tE9677EGlOJ14KU9TZn7I/"",""1985-2003!H3023"")"),6.16235576)</f>
        <v>6.1623557599999996</v>
      </c>
      <c r="E153" s="95">
        <f ca="1">IFERROR(__xludf.DUMMYFUNCTION("$C147*IMPORTRANGE(""https://docs.google.com/spreadsheets/d/1xsp01RMmkav9iTy39Zaj_7tE9677EGlOJ14KU9TZn7I/"",""1985-2003!T3023"")"),5.18364967999999)</f>
        <v>5.1836496799999896</v>
      </c>
      <c r="F153" s="95">
        <f ca="1">IFERROR(__xludf.DUMMYFUNCTION("$C147*IMPORTRANGE(""https://docs.google.com/spreadsheets/d/1xsp01RMmkav9iTy39Zaj_7tE9677EGlOJ14KU9TZn7I/"",""1985-2003!AC3023"")"),837.337424)</f>
        <v>837.33742400000006</v>
      </c>
      <c r="G153" s="124" t="s">
        <v>8</v>
      </c>
      <c r="H153" s="76"/>
      <c r="I153" s="76"/>
      <c r="J153" s="76"/>
      <c r="K153" s="77"/>
      <c r="L153" s="78"/>
      <c r="M153" s="79"/>
      <c r="N153" s="79"/>
      <c r="O153" s="79"/>
      <c r="P153" s="79"/>
      <c r="Q153" s="77"/>
      <c r="R153" s="76"/>
      <c r="S153" s="76"/>
      <c r="T153" s="76"/>
      <c r="U153" s="76"/>
      <c r="V153" s="76"/>
      <c r="W153" s="76"/>
      <c r="X153" s="76"/>
      <c r="Y153" s="76"/>
      <c r="Z153" s="76"/>
      <c r="AA153" s="80"/>
      <c r="AB153" s="80"/>
      <c r="AC153" s="80"/>
    </row>
    <row r="154" spans="1:29" ht="13.2" x14ac:dyDescent="0.25">
      <c r="A154" s="128" t="s">
        <v>173</v>
      </c>
      <c r="B154" s="97">
        <v>7</v>
      </c>
      <c r="C154" s="98">
        <f>2688.2/1000</f>
        <v>2.6881999999999997</v>
      </c>
      <c r="D154" s="99">
        <f ca="1">IFERROR(__xludf.DUMMYFUNCTION("$C148*IMPORTRANGE(""https://docs.google.com/spreadsheets/d/1xsp01RMmkav9iTy39Zaj_7tE9677EGlOJ14KU9TZn7I/"",""1985-2003!H3045"")"),2.10163476)</f>
        <v>2.10163476</v>
      </c>
      <c r="E154" s="99">
        <f ca="1">IFERROR(__xludf.DUMMYFUNCTION("$C148*IMPORTRANGE(""https://docs.google.com/spreadsheets/d/1xsp01RMmkav9iTy39Zaj_7tE9677EGlOJ14KU9TZn7I/"",""1985-2003!T3045"")"),1.74813645999999)</f>
        <v>1.74813645999999</v>
      </c>
      <c r="F154" s="99">
        <f ca="1">IFERROR(__xludf.DUMMYFUNCTION("$C148*IMPORTRANGE(""https://docs.google.com/spreadsheets/d/1xsp01RMmkav9iTy39Zaj_7tE9677EGlOJ14KU9TZn7I/"",""1985-2003!AC3045"")"),283.013696)</f>
        <v>283.01369599999998</v>
      </c>
      <c r="G154" s="128" t="s">
        <v>8</v>
      </c>
      <c r="H154" s="76"/>
      <c r="I154" s="76"/>
      <c r="J154" s="76"/>
      <c r="K154" s="77"/>
      <c r="L154" s="78"/>
      <c r="M154" s="79"/>
      <c r="N154" s="79"/>
      <c r="O154" s="79"/>
      <c r="P154" s="79"/>
      <c r="Q154" s="77"/>
      <c r="R154" s="76"/>
      <c r="S154" s="76"/>
      <c r="T154" s="76"/>
      <c r="U154" s="76"/>
      <c r="V154" s="76"/>
      <c r="W154" s="76"/>
      <c r="X154" s="76"/>
      <c r="Y154" s="76"/>
      <c r="Z154" s="76"/>
      <c r="AA154" s="80"/>
      <c r="AB154" s="80"/>
      <c r="AC154" s="80"/>
    </row>
    <row r="155" spans="1:29" ht="13.2" x14ac:dyDescent="0.25">
      <c r="A155" s="126" t="s">
        <v>174</v>
      </c>
      <c r="B155" s="87">
        <v>9</v>
      </c>
      <c r="C155" s="88">
        <f>182.5/1000</f>
        <v>0.1825</v>
      </c>
      <c r="D155" s="96">
        <f ca="1">IFERROR(__xludf.DUMMYFUNCTION("$C149*IMPORTRANGE(""https://docs.google.com/spreadsheets/d/1xsp01RMmkav9iTy39Zaj_7tE9677EGlOJ14KU9TZn7I/"",""1985-2003!H3067"")"),0.14251425)</f>
        <v>0.14251425000000001</v>
      </c>
      <c r="E155" s="96">
        <f ca="1">IFERROR(__xludf.DUMMYFUNCTION("$C149*IMPORTRANGE(""https://docs.google.com/spreadsheets/d/1xsp01RMmkav9iTy39Zaj_7tE9677EGlOJ14KU9TZn7I/"",""1985-2003!T3067"")"),0.11955575)</f>
        <v>0.11955575</v>
      </c>
      <c r="F155" s="96">
        <f ca="1">IFERROR(__xludf.DUMMYFUNCTION("$C149*IMPORTRANGE(""https://docs.google.com/spreadsheets/d/1xsp01RMmkav9iTy39Zaj_7tE9677EGlOJ14KU9TZn7I/"",""1985-2003!AC3067"")"),19.3085)</f>
        <v>19.308499999999999</v>
      </c>
      <c r="G155" s="126" t="s">
        <v>8</v>
      </c>
      <c r="H155" s="76"/>
      <c r="I155" s="76"/>
      <c r="J155" s="76"/>
      <c r="K155" s="77"/>
      <c r="L155" s="78"/>
      <c r="M155" s="79"/>
      <c r="N155" s="79"/>
      <c r="O155" s="79"/>
      <c r="P155" s="79"/>
      <c r="Q155" s="77"/>
      <c r="R155" s="76"/>
      <c r="S155" s="76"/>
      <c r="T155" s="76"/>
      <c r="U155" s="76"/>
      <c r="V155" s="76"/>
      <c r="W155" s="76"/>
      <c r="X155" s="76"/>
      <c r="Y155" s="76"/>
      <c r="Z155" s="76"/>
      <c r="AA155" s="80"/>
      <c r="AB155" s="80"/>
      <c r="AC155" s="80"/>
    </row>
    <row r="156" spans="1:29" ht="13.2" x14ac:dyDescent="0.25">
      <c r="A156" s="128" t="s">
        <v>175</v>
      </c>
      <c r="B156" s="97">
        <v>6</v>
      </c>
      <c r="C156" s="98">
        <f>791.8/1000</f>
        <v>0.79179999999999995</v>
      </c>
      <c r="D156" s="99">
        <f ca="1">IFERROR(__xludf.DUMMYFUNCTION("$C150*IMPORTRANGE(""https://docs.google.com/spreadsheets/d/1xsp01RMmkav9iTy39Zaj_7tE9677EGlOJ14KU9TZn7I/"",""1985-2003!H3090"")"),0.627145189999999)</f>
        <v>0.62714518999999902</v>
      </c>
      <c r="E156" s="99">
        <f ca="1">IFERROR(__xludf.DUMMYFUNCTION("$C150*IMPORTRANGE(""https://docs.google.com/spreadsheets/d/1xsp01RMmkav9iTy39Zaj_7tE9677EGlOJ14KU9TZn7I/"",""1985-2003!T3090"")"),0.52341939)</f>
        <v>0.52341939000000004</v>
      </c>
      <c r="F156" s="99">
        <f ca="1">IFERROR(__xludf.DUMMYFUNCTION("$C150*IMPORTRANGE(""https://docs.google.com/spreadsheets/d/1xsp01RMmkav9iTy39Zaj_7tE9677EGlOJ14KU9TZn7I/"",""1985-2003!AC3090"")"),85.0868279999999)</f>
        <v>85.086827999999898</v>
      </c>
      <c r="G156" s="128" t="s">
        <v>8</v>
      </c>
      <c r="H156" s="76"/>
      <c r="I156" s="76"/>
      <c r="J156" s="76"/>
      <c r="K156" s="77"/>
      <c r="L156" s="78"/>
      <c r="M156" s="79"/>
      <c r="N156" s="79"/>
      <c r="O156" s="79"/>
      <c r="P156" s="79"/>
      <c r="Q156" s="77"/>
      <c r="R156" s="76"/>
      <c r="S156" s="76"/>
      <c r="T156" s="76"/>
      <c r="U156" s="76"/>
      <c r="V156" s="76"/>
      <c r="W156" s="76"/>
      <c r="X156" s="76"/>
      <c r="Y156" s="76"/>
      <c r="Z156" s="76"/>
      <c r="AA156" s="80"/>
      <c r="AB156" s="80"/>
      <c r="AC156" s="80"/>
    </row>
    <row r="157" spans="1:29" ht="13.2" x14ac:dyDescent="0.25">
      <c r="A157" s="126" t="s">
        <v>176</v>
      </c>
      <c r="B157" s="87">
        <v>10</v>
      </c>
      <c r="C157" s="88">
        <f>2181/1000</f>
        <v>2.181</v>
      </c>
      <c r="D157" s="96">
        <f ca="1">IFERROR(__xludf.DUMMYFUNCTION("$C151*IMPORTRANGE(""https://docs.google.com/spreadsheets/d/1xsp01RMmkav9iTy39Zaj_7tE9677EGlOJ14KU9TZn7I/"",""1985-2003!H3114"")"),1.7476353)</f>
        <v>1.7476353</v>
      </c>
      <c r="E157" s="96">
        <f ca="1">IFERROR(__xludf.DUMMYFUNCTION("$C151*IMPORTRANGE(""https://docs.google.com/spreadsheets/d/1xsp01RMmkav9iTy39Zaj_7tE9677EGlOJ14KU9TZn7I/"",""1985-2003!T3114"")"),1.4412048)</f>
        <v>1.4412048</v>
      </c>
      <c r="F157" s="96">
        <f ca="1">IFERROR(__xludf.DUMMYFUNCTION("$C151*IMPORTRANGE(""https://docs.google.com/spreadsheets/d/1xsp01RMmkav9iTy39Zaj_7tE9677EGlOJ14KU9TZn7I/"",""1985-2003!AC3114"")"),232.95261)</f>
        <v>232.95260999999999</v>
      </c>
      <c r="G157" s="126" t="s">
        <v>8</v>
      </c>
      <c r="H157" s="76"/>
      <c r="I157" s="76"/>
      <c r="J157" s="76"/>
      <c r="K157" s="77"/>
      <c r="L157" s="78"/>
      <c r="M157" s="79"/>
      <c r="N157" s="79"/>
      <c r="O157" s="79"/>
      <c r="P157" s="79"/>
      <c r="Q157" s="77"/>
      <c r="R157" s="76"/>
      <c r="S157" s="76"/>
      <c r="T157" s="76"/>
      <c r="U157" s="76"/>
      <c r="V157" s="76"/>
      <c r="W157" s="76"/>
      <c r="X157" s="76"/>
      <c r="Y157" s="76"/>
      <c r="Z157" s="76"/>
      <c r="AA157" s="80"/>
      <c r="AB157" s="80"/>
      <c r="AC157" s="80"/>
    </row>
    <row r="158" spans="1:29" ht="13.2" x14ac:dyDescent="0.25">
      <c r="A158" s="128" t="s">
        <v>177</v>
      </c>
      <c r="B158" s="97">
        <v>10</v>
      </c>
      <c r="C158" s="98">
        <f>960.8/1000</f>
        <v>0.96079999999999999</v>
      </c>
      <c r="D158" s="99">
        <f ca="1">IFERROR(__xludf.DUMMYFUNCTION("$C152*IMPORTRANGE(""https://docs.google.com/spreadsheets/d/1xsp01RMmkav9iTy39Zaj_7tE9677EGlOJ14KU9TZn7I/"",""1985-2003!H3135"")"),0.7652772)</f>
        <v>0.76527719999999999</v>
      </c>
      <c r="E158" s="99">
        <f ca="1">IFERROR(__xludf.DUMMYFUNCTION("$C152*IMPORTRANGE(""https://docs.google.com/spreadsheets/d/1xsp01RMmkav9iTy39Zaj_7tE9677EGlOJ14KU9TZn7I/"",""1985-2003!T3135"")"),0.62351116)</f>
        <v>0.62351115999999995</v>
      </c>
      <c r="F158" s="99">
        <f ca="1">IFERROR(__xludf.DUMMYFUNCTION("$C152*IMPORTRANGE(""https://docs.google.com/spreadsheets/d/1xsp01RMmkav9iTy39Zaj_7tE9677EGlOJ14KU9TZn7I/"",""1985-2003!AC3135"")"),104.770436)</f>
        <v>104.770436</v>
      </c>
      <c r="G158" s="128" t="s">
        <v>8</v>
      </c>
      <c r="H158" s="76"/>
      <c r="I158" s="76"/>
      <c r="J158" s="76"/>
      <c r="K158" s="77"/>
      <c r="L158" s="78"/>
      <c r="M158" s="79"/>
      <c r="N158" s="79"/>
      <c r="O158" s="79"/>
      <c r="P158" s="79"/>
      <c r="Q158" s="77"/>
      <c r="R158" s="76"/>
      <c r="S158" s="76"/>
      <c r="T158" s="76"/>
      <c r="U158" s="76"/>
      <c r="V158" s="76"/>
      <c r="W158" s="76"/>
      <c r="X158" s="76"/>
      <c r="Y158" s="76"/>
      <c r="Z158" s="76"/>
      <c r="AA158" s="80"/>
      <c r="AB158" s="80"/>
      <c r="AC158" s="80"/>
    </row>
    <row r="159" spans="1:29" ht="13.2" x14ac:dyDescent="0.25">
      <c r="A159" s="126" t="s">
        <v>178</v>
      </c>
      <c r="B159" s="87">
        <v>6</v>
      </c>
      <c r="C159" s="88">
        <f>1685.9/1000</f>
        <v>1.6859000000000002</v>
      </c>
      <c r="D159" s="96">
        <f ca="1">IFERROR(__xludf.DUMMYFUNCTION("$C153*IMPORTRANGE(""https://docs.google.com/spreadsheets/d/1xsp01RMmkav9iTy39Zaj_7tE9677EGlOJ14KU9TZn7I/"",""1985-2003!H3159"")"),1.31365328)</f>
        <v>1.31365328</v>
      </c>
      <c r="E159" s="96">
        <f ca="1">IFERROR(__xludf.DUMMYFUNCTION("$C153*IMPORTRANGE(""https://docs.google.com/spreadsheets/d/1xsp01RMmkav9iTy39Zaj_7tE9677EGlOJ14KU9TZn7I/"",""1985-2003!T3159"")"),1.08420229)</f>
        <v>1.0842022899999999</v>
      </c>
      <c r="F159" s="96">
        <f ca="1">IFERROR(__xludf.DUMMYFUNCTION("$C153*IMPORTRANGE(""https://docs.google.com/spreadsheets/d/1xsp01RMmkav9iTy39Zaj_7tE9677EGlOJ14KU9TZn7I/"",""1985-2003!AC3159"")"),184.353165)</f>
        <v>184.35316499999999</v>
      </c>
      <c r="G159" s="126" t="s">
        <v>8</v>
      </c>
      <c r="H159" s="76"/>
      <c r="I159" s="76"/>
      <c r="J159" s="76"/>
      <c r="K159" s="77"/>
      <c r="L159" s="78"/>
      <c r="M159" s="79"/>
      <c r="N159" s="79"/>
      <c r="O159" s="79"/>
      <c r="P159" s="79"/>
      <c r="Q159" s="77"/>
      <c r="R159" s="76"/>
      <c r="S159" s="76"/>
      <c r="T159" s="76"/>
      <c r="U159" s="76"/>
      <c r="V159" s="76"/>
      <c r="W159" s="76"/>
      <c r="X159" s="76"/>
      <c r="Y159" s="76"/>
      <c r="Z159" s="76"/>
      <c r="AA159" s="80"/>
      <c r="AB159" s="80"/>
      <c r="AC159" s="80"/>
    </row>
    <row r="160" spans="1:29" ht="13.2" x14ac:dyDescent="0.25">
      <c r="A160" s="128" t="s">
        <v>179</v>
      </c>
      <c r="B160" s="104">
        <v>2</v>
      </c>
      <c r="C160" s="98">
        <f>0.054/1000</f>
        <v>5.3999999999999998E-5</v>
      </c>
      <c r="D160" s="99">
        <f ca="1">IFERROR(__xludf.DUMMYFUNCTION("$C154*IMPORTRANGE(""https://docs.google.com/spreadsheets/d/1xsp01RMmkav9iTy39Zaj_7tE9677EGlOJ14KU9TZn7I/"",""1985-2003!H3182"")"),0.000041904)</f>
        <v>4.1903999999999997E-5</v>
      </c>
      <c r="E160" s="99">
        <f ca="1">IFERROR(__xludf.DUMMYFUNCTION("$C154*IMPORTRANGE(""https://docs.google.com/spreadsheets/d/1xsp01RMmkav9iTy39Zaj_7tE9677EGlOJ14KU9TZn7I/"",""1985-2003!T3182"")"),0.0000348408)</f>
        <v>3.48408E-5</v>
      </c>
      <c r="F160" s="99">
        <f ca="1">IFERROR(__xludf.DUMMYFUNCTION("$C154*IMPORTRANGE(""https://docs.google.com/spreadsheets/d/1xsp01RMmkav9iTy39Zaj_7tE9677EGlOJ14KU9TZn7I/"",""1985-2003!AC3182"")"),0.00582848999999999)</f>
        <v>5.82848999999999E-3</v>
      </c>
      <c r="G160" s="128" t="s">
        <v>8</v>
      </c>
      <c r="H160" s="76"/>
      <c r="I160" s="76"/>
      <c r="J160" s="76"/>
      <c r="K160" s="77"/>
      <c r="L160" s="78"/>
      <c r="M160" s="79"/>
      <c r="N160" s="79"/>
      <c r="O160" s="79"/>
      <c r="P160" s="79"/>
      <c r="Q160" s="77"/>
      <c r="R160" s="76"/>
      <c r="S160" s="76"/>
      <c r="T160" s="76"/>
      <c r="U160" s="76"/>
      <c r="V160" s="76"/>
      <c r="W160" s="76"/>
      <c r="X160" s="76"/>
      <c r="Y160" s="76"/>
      <c r="Z160" s="76"/>
      <c r="AA160" s="80"/>
      <c r="AB160" s="80"/>
      <c r="AC160" s="80"/>
    </row>
    <row r="161" spans="1:29" ht="13.2" x14ac:dyDescent="0.25">
      <c r="A161" s="126" t="s">
        <v>180</v>
      </c>
      <c r="B161" s="87">
        <v>7</v>
      </c>
      <c r="C161" s="88">
        <f>2689.3/1000</f>
        <v>2.6893000000000002</v>
      </c>
      <c r="D161" s="96">
        <f ca="1">IFERROR(__xludf.DUMMYFUNCTION("$C155*IMPORTRANGE(""https://docs.google.com/spreadsheets/d/1xsp01RMmkav9iTy39Zaj_7tE9677EGlOJ14KU9TZn7I/"",""1985-2003!H3204"")"),2.11513445)</f>
        <v>2.1151344500000002</v>
      </c>
      <c r="E161" s="96">
        <f ca="1">IFERROR(__xludf.DUMMYFUNCTION("$C155*IMPORTRANGE(""https://docs.google.com/spreadsheets/d/1xsp01RMmkav9iTy39Zaj_7tE9677EGlOJ14KU9TZn7I/"",""1985-2003!T3204"")"),1.72411023)</f>
        <v>1.72411023</v>
      </c>
      <c r="F161" s="96">
        <f ca="1">IFERROR(__xludf.DUMMYFUNCTION("$C155*IMPORTRANGE(""https://docs.google.com/spreadsheets/d/1xsp01RMmkav9iTy39Zaj_7tE9677EGlOJ14KU9TZn7I/"",""1985-2003!AC3204"")"),295.688535)</f>
        <v>295.688535</v>
      </c>
      <c r="G161" s="126" t="s">
        <v>8</v>
      </c>
      <c r="H161" s="76"/>
      <c r="I161" s="76"/>
      <c r="J161" s="76"/>
      <c r="K161" s="77"/>
      <c r="L161" s="78"/>
      <c r="M161" s="79"/>
      <c r="N161" s="79"/>
      <c r="O161" s="79"/>
      <c r="P161" s="79"/>
      <c r="Q161" s="77"/>
      <c r="R161" s="76"/>
      <c r="S161" s="76"/>
      <c r="T161" s="76"/>
      <c r="U161" s="76"/>
      <c r="V161" s="76"/>
      <c r="W161" s="76"/>
      <c r="X161" s="76"/>
      <c r="Y161" s="76"/>
      <c r="Z161" s="76"/>
      <c r="AA161" s="80"/>
      <c r="AB161" s="80"/>
      <c r="AC161" s="80"/>
    </row>
    <row r="162" spans="1:29" ht="13.2" x14ac:dyDescent="0.25">
      <c r="A162" s="128" t="s">
        <v>181</v>
      </c>
      <c r="B162" s="97">
        <v>10</v>
      </c>
      <c r="C162" s="98">
        <f>2545.5/1000</f>
        <v>2.5455000000000001</v>
      </c>
      <c r="D162" s="99">
        <f ca="1">IFERROR(__xludf.DUMMYFUNCTION("$C156*IMPORTRANGE(""https://docs.google.com/spreadsheets/d/1xsp01RMmkav9iTy39Zaj_7tE9677EGlOJ14KU9TZn7I/"",""1985-2003!H3228"")"),2.0145087)</f>
        <v>2.0145086999999999</v>
      </c>
      <c r="E162" s="99">
        <f ca="1">IFERROR(__xludf.DUMMYFUNCTION("$C156*IMPORTRANGE(""https://docs.google.com/spreadsheets/d/1xsp01RMmkav9iTy39Zaj_7tE9677EGlOJ14KU9TZn7I/"",""1985-2003!T3228"")"),1.60595595)</f>
        <v>1.60595595</v>
      </c>
      <c r="F162" s="99">
        <f ca="1">IFERROR(__xludf.DUMMYFUNCTION("$C156*IMPORTRANGE(""https://docs.google.com/spreadsheets/d/1xsp01RMmkav9iTy39Zaj_7tE9677EGlOJ14KU9TZn7I/"",""1985-2003!AC3228"")"),285.732375)</f>
        <v>285.73237499999999</v>
      </c>
      <c r="G162" s="128" t="s">
        <v>8</v>
      </c>
      <c r="H162" s="76"/>
      <c r="I162" s="76"/>
      <c r="J162" s="76"/>
      <c r="K162" s="77"/>
      <c r="L162" s="78"/>
      <c r="M162" s="79"/>
      <c r="N162" s="79"/>
      <c r="O162" s="79"/>
      <c r="P162" s="79"/>
      <c r="Q162" s="77"/>
      <c r="R162" s="76"/>
      <c r="S162" s="76"/>
      <c r="T162" s="76"/>
      <c r="U162" s="76"/>
      <c r="V162" s="76"/>
      <c r="W162" s="76"/>
      <c r="X162" s="76"/>
      <c r="Y162" s="76"/>
      <c r="Z162" s="76"/>
      <c r="AA162" s="80"/>
      <c r="AB162" s="80"/>
      <c r="AC162" s="80"/>
    </row>
    <row r="163" spans="1:29" ht="13.2" x14ac:dyDescent="0.25">
      <c r="A163" s="126" t="s">
        <v>182</v>
      </c>
      <c r="B163" s="87">
        <v>7</v>
      </c>
      <c r="C163" s="88">
        <f>144.8/1000</f>
        <v>0.14480000000000001</v>
      </c>
      <c r="D163" s="96">
        <f ca="1">IFERROR(__xludf.DUMMYFUNCTION("$C157*IMPORTRANGE(""https://docs.google.com/spreadsheets/d/1xsp01RMmkav9iTy39Zaj_7tE9677EGlOJ14KU9TZn7I/"",""1985-2003!H3250"")"),0.11300192)</f>
        <v>0.11300192000000001</v>
      </c>
      <c r="E163" s="96">
        <f ca="1">IFERROR(__xludf.DUMMYFUNCTION("$C157*IMPORTRANGE(""https://docs.google.com/spreadsheets/d/1xsp01RMmkav9iTy39Zaj_7tE9677EGlOJ14KU9TZn7I/"",""1985-2003!T3250"")"),0.08699584)</f>
        <v>8.6995840000000005E-2</v>
      </c>
      <c r="F163" s="96">
        <f ca="1">IFERROR(__xludf.DUMMYFUNCTION("$C157*IMPORTRANGE(""https://docs.google.com/spreadsheets/d/1xsp01RMmkav9iTy39Zaj_7tE9677EGlOJ14KU9TZn7I/"",""1985-2003!AC3250"")"),16.185744)</f>
        <v>16.185744</v>
      </c>
      <c r="G163" s="126" t="s">
        <v>8</v>
      </c>
      <c r="H163" s="76"/>
      <c r="I163" s="76"/>
      <c r="J163" s="76"/>
      <c r="K163" s="77"/>
      <c r="L163" s="78"/>
      <c r="M163" s="79"/>
      <c r="N163" s="79"/>
      <c r="O163" s="79"/>
      <c r="P163" s="79"/>
      <c r="Q163" s="77"/>
      <c r="R163" s="76"/>
      <c r="S163" s="76"/>
      <c r="T163" s="76"/>
      <c r="U163" s="76"/>
      <c r="V163" s="76"/>
      <c r="W163" s="76"/>
      <c r="X163" s="76"/>
      <c r="Y163" s="76"/>
      <c r="Z163" s="76"/>
      <c r="AA163" s="80"/>
      <c r="AB163" s="80"/>
      <c r="AC163" s="80"/>
    </row>
    <row r="164" spans="1:29" ht="13.2" x14ac:dyDescent="0.25">
      <c r="A164" s="129" t="s">
        <v>183</v>
      </c>
      <c r="B164" s="100">
        <v>18</v>
      </c>
      <c r="C164" s="101">
        <f>842.1/1000</f>
        <v>0.84210000000000007</v>
      </c>
      <c r="D164" s="102">
        <f ca="1">IFERROR(__xludf.DUMMYFUNCTION("$C158*IMPORTRANGE(""https://docs.google.com/spreadsheets/d/1xsp01RMmkav9iTy39Zaj_7tE9677EGlOJ14KU9TZn7I/"",""1985-2003!H3273"")"),0.67351158)</f>
        <v>0.67351158</v>
      </c>
      <c r="E164" s="102">
        <f ca="1">IFERROR(__xludf.DUMMYFUNCTION("$C158*IMPORTRANGE(""https://docs.google.com/spreadsheets/d/1xsp01RMmkav9iTy39Zaj_7tE9677EGlOJ14KU9TZn7I/"",""1985-2003!T3273"")"),0.506144205)</f>
        <v>0.50614420500000001</v>
      </c>
      <c r="F164" s="102">
        <f ca="1">IFERROR(__xludf.DUMMYFUNCTION("$C158*IMPORTRANGE(""https://docs.google.com/spreadsheets/d/1xsp01RMmkav9iTy39Zaj_7tE9677EGlOJ14KU9TZn7I/"",""1985-2003!AC3273"")"),95.9194005)</f>
        <v>95.919400499999995</v>
      </c>
      <c r="G164" s="129" t="s">
        <v>8</v>
      </c>
      <c r="H164" s="76"/>
      <c r="I164" s="76"/>
      <c r="J164" s="76"/>
      <c r="K164" s="77"/>
      <c r="L164" s="78"/>
      <c r="M164" s="79"/>
      <c r="N164" s="79"/>
      <c r="O164" s="79"/>
      <c r="P164" s="79"/>
      <c r="Q164" s="77"/>
      <c r="R164" s="76"/>
      <c r="S164" s="76"/>
      <c r="T164" s="76"/>
      <c r="U164" s="76"/>
      <c r="V164" s="76"/>
      <c r="W164" s="76"/>
      <c r="X164" s="76"/>
      <c r="Y164" s="76"/>
      <c r="Z164" s="76"/>
      <c r="AA164" s="80"/>
      <c r="AB164" s="80"/>
      <c r="AC164" s="80"/>
    </row>
    <row r="165" spans="1:29" ht="13.2" x14ac:dyDescent="0.25">
      <c r="A165" s="120">
        <v>1997</v>
      </c>
      <c r="B165" s="121"/>
      <c r="C165" s="122"/>
      <c r="D165" s="122"/>
      <c r="E165" s="122"/>
      <c r="F165" s="122"/>
      <c r="G165" s="123"/>
      <c r="H165" s="76"/>
      <c r="I165" s="76"/>
      <c r="J165" s="76"/>
      <c r="K165" s="77"/>
      <c r="L165" s="78"/>
      <c r="M165" s="79"/>
      <c r="N165" s="79"/>
      <c r="O165" s="79"/>
      <c r="P165" s="79"/>
      <c r="Q165" s="77"/>
      <c r="R165" s="76"/>
      <c r="S165" s="76"/>
      <c r="T165" s="76"/>
      <c r="U165" s="76"/>
      <c r="V165" s="76"/>
      <c r="W165" s="76"/>
      <c r="X165" s="76"/>
      <c r="Y165" s="76"/>
      <c r="Z165" s="76"/>
      <c r="AA165" s="80"/>
      <c r="AB165" s="80"/>
      <c r="AC165" s="80"/>
    </row>
    <row r="166" spans="1:29" ht="13.2" x14ac:dyDescent="0.25">
      <c r="A166" s="124" t="s">
        <v>184</v>
      </c>
      <c r="B166" s="84">
        <v>6</v>
      </c>
      <c r="C166" s="85">
        <f>813.9/1000</f>
        <v>0.81389999999999996</v>
      </c>
      <c r="D166" s="95">
        <f ca="1">IFERROR(__xludf.DUMMYFUNCTION("$C160*IMPORTRANGE(""https://docs.google.com/spreadsheets/d/1xsp01RMmkav9iTy39Zaj_7tE9677EGlOJ14KU9TZn7I/"",""1985-2003!H3297"")"),0.667845645)</f>
        <v>0.66784564499999999</v>
      </c>
      <c r="E166" s="95">
        <f ca="1">IFERROR(__xludf.DUMMYFUNCTION("$C160*IMPORTRANGE(""https://docs.google.com/spreadsheets/d/1xsp01RMmkav9iTy39Zaj_7tE9677EGlOJ14KU9TZn7I/"",""1985-2003!T3297"")"),0.487729575)</f>
        <v>0.48772957500000003</v>
      </c>
      <c r="F166" s="95">
        <f ca="1">IFERROR(__xludf.DUMMYFUNCTION("$C160*IMPORTRANGE(""https://docs.google.com/spreadsheets/d/1xsp01RMmkav9iTy39Zaj_7tE9677EGlOJ14KU9TZn7I/"",""1985-2003!AC3297"")"),95.30769)</f>
        <v>95.307689999999994</v>
      </c>
      <c r="G166" s="124" t="s">
        <v>8</v>
      </c>
      <c r="H166" s="76"/>
      <c r="I166" s="76"/>
      <c r="J166" s="76"/>
      <c r="K166" s="77"/>
      <c r="L166" s="78"/>
      <c r="M166" s="79"/>
      <c r="N166" s="79"/>
      <c r="O166" s="79"/>
      <c r="P166" s="79"/>
      <c r="Q166" s="77"/>
      <c r="R166" s="76"/>
      <c r="S166" s="76"/>
      <c r="T166" s="76"/>
      <c r="U166" s="76"/>
      <c r="V166" s="76"/>
      <c r="W166" s="76"/>
      <c r="X166" s="76"/>
      <c r="Y166" s="76"/>
      <c r="Z166" s="76"/>
      <c r="AA166" s="80"/>
      <c r="AB166" s="80"/>
      <c r="AC166" s="80"/>
    </row>
    <row r="167" spans="1:29" ht="13.2" x14ac:dyDescent="0.25">
      <c r="A167" s="128" t="s">
        <v>185</v>
      </c>
      <c r="B167" s="97">
        <v>8</v>
      </c>
      <c r="C167" s="98">
        <f>1490.8/1000</f>
        <v>1.4907999999999999</v>
      </c>
      <c r="D167" s="99">
        <f ca="1">IFERROR(__xludf.DUMMYFUNCTION("$C161*IMPORTRANGE(""https://docs.google.com/spreadsheets/d/1xsp01RMmkav9iTy39Zaj_7tE9677EGlOJ14KU9TZn7I/"",""1985-2003!H3318"")"),1.28678402)</f>
        <v>1.28678402</v>
      </c>
      <c r="E167" s="99">
        <f ca="1">IFERROR(__xludf.DUMMYFUNCTION("$C161*IMPORTRANGE(""https://docs.google.com/spreadsheets/d/1xsp01RMmkav9iTy39Zaj_7tE9677EGlOJ14KU9TZn7I/"",""1985-2003!T3318"")"),0.91639476)</f>
        <v>0.91639475999999997</v>
      </c>
      <c r="F167" s="99">
        <f ca="1">IFERROR(__xludf.DUMMYFUNCTION("$C161*IMPORTRANGE(""https://docs.google.com/spreadsheets/d/1xsp01RMmkav9iTy39Zaj_7tE9677EGlOJ14KU9TZn7I/"",""1985-2003!AC3318"")"),183.554749999999)</f>
        <v>183.55474999999899</v>
      </c>
      <c r="G167" s="128" t="s">
        <v>8</v>
      </c>
      <c r="H167" s="76"/>
      <c r="I167" s="76"/>
      <c r="J167" s="76"/>
      <c r="K167" s="77"/>
      <c r="L167" s="78"/>
      <c r="M167" s="79"/>
      <c r="N167" s="79"/>
      <c r="O167" s="79"/>
      <c r="P167" s="79"/>
      <c r="Q167" s="77"/>
      <c r="R167" s="76"/>
      <c r="S167" s="76"/>
      <c r="T167" s="76"/>
      <c r="U167" s="76"/>
      <c r="V167" s="76"/>
      <c r="W167" s="76"/>
      <c r="X167" s="76"/>
      <c r="Y167" s="76"/>
      <c r="Z167" s="76"/>
      <c r="AA167" s="80"/>
      <c r="AB167" s="80"/>
      <c r="AC167" s="80"/>
    </row>
    <row r="168" spans="1:29" ht="13.2" x14ac:dyDescent="0.25">
      <c r="A168" s="126" t="s">
        <v>186</v>
      </c>
      <c r="B168" s="87">
        <v>6</v>
      </c>
      <c r="C168" s="88">
        <f>115.6/1000</f>
        <v>0.11559999999999999</v>
      </c>
      <c r="D168" s="96">
        <f ca="1">IFERROR(__xludf.DUMMYFUNCTION("$C162*IMPORTRANGE(""https://docs.google.com/spreadsheets/d/1xsp01RMmkav9iTy39Zaj_7tE9677EGlOJ14KU9TZn7I/"",""1985-2003!H3340"")"),0.10067604)</f>
        <v>0.10067603999999999</v>
      </c>
      <c r="E168" s="96">
        <f ca="1">IFERROR(__xludf.DUMMYFUNCTION("$C162*IMPORTRANGE(""https://docs.google.com/spreadsheets/d/1xsp01RMmkav9iTy39Zaj_7tE9677EGlOJ14KU9TZn7I/"",""1985-2003!T3340"")"),0.07206504)</f>
        <v>7.2065039999999997E-2</v>
      </c>
      <c r="F168" s="96">
        <f ca="1">IFERROR(__xludf.DUMMYFUNCTION("$C162*IMPORTRANGE(""https://docs.google.com/spreadsheets/d/1xsp01RMmkav9iTy39Zaj_7tE9677EGlOJ14KU9TZn7I/"",""1985-2003!AC3340"")"),14.193368)</f>
        <v>14.193368</v>
      </c>
      <c r="G168" s="126" t="s">
        <v>8</v>
      </c>
      <c r="H168" s="76"/>
      <c r="I168" s="76"/>
      <c r="J168" s="76"/>
      <c r="K168" s="77"/>
      <c r="L168" s="78"/>
      <c r="M168" s="79"/>
      <c r="N168" s="79"/>
      <c r="O168" s="79"/>
      <c r="P168" s="79"/>
      <c r="Q168" s="77"/>
      <c r="R168" s="76"/>
      <c r="S168" s="76"/>
      <c r="T168" s="76"/>
      <c r="U168" s="76"/>
      <c r="V168" s="76"/>
      <c r="W168" s="76"/>
      <c r="X168" s="76"/>
      <c r="Y168" s="76"/>
      <c r="Z168" s="76"/>
      <c r="AA168" s="80"/>
      <c r="AB168" s="80"/>
      <c r="AC168" s="80"/>
    </row>
    <row r="169" spans="1:29" ht="13.2" x14ac:dyDescent="0.25">
      <c r="A169" s="128" t="s">
        <v>187</v>
      </c>
      <c r="B169" s="97">
        <v>7</v>
      </c>
      <c r="C169" s="98">
        <f>1714.6/1000</f>
        <v>1.7145999999999999</v>
      </c>
      <c r="D169" s="99">
        <f ca="1">IFERROR(__xludf.DUMMYFUNCTION("$C163*IMPORTRANGE(""https://docs.google.com/spreadsheets/d/1xsp01RMmkav9iTy39Zaj_7tE9677EGlOJ14KU9TZn7I/"",""1985-2003!H3363"")"),1.50730485999999)</f>
        <v>1.5073048599999901</v>
      </c>
      <c r="E169" s="99">
        <f ca="1">IFERROR(__xludf.DUMMYFUNCTION("$C163*IMPORTRANGE(""https://docs.google.com/spreadsheets/d/1xsp01RMmkav9iTy39Zaj_7tE9677EGlOJ14KU9TZn7I/"",""1985-2003!T3363"")"),1.05413608)</f>
        <v>1.0541360799999999</v>
      </c>
      <c r="F169" s="99">
        <f ca="1">IFERROR(__xludf.DUMMYFUNCTION("$C163*IMPORTRANGE(""https://docs.google.com/spreadsheets/d/1xsp01RMmkav9iTy39Zaj_7tE9677EGlOJ14KU9TZn7I/"",""1985-2003!AC3363"")"),216.142476)</f>
        <v>216.14247599999999</v>
      </c>
      <c r="G169" s="128" t="s">
        <v>8</v>
      </c>
      <c r="H169" s="76"/>
      <c r="I169" s="76"/>
      <c r="J169" s="76"/>
      <c r="K169" s="77"/>
      <c r="L169" s="78"/>
      <c r="M169" s="79"/>
      <c r="N169" s="79"/>
      <c r="O169" s="79"/>
      <c r="P169" s="79"/>
      <c r="Q169" s="77"/>
      <c r="R169" s="76"/>
      <c r="S169" s="76"/>
      <c r="T169" s="76"/>
      <c r="U169" s="76"/>
      <c r="V169" s="76"/>
      <c r="W169" s="76"/>
      <c r="X169" s="76"/>
      <c r="Y169" s="76"/>
      <c r="Z169" s="76"/>
      <c r="AA169" s="80"/>
      <c r="AB169" s="80"/>
      <c r="AC169" s="80"/>
    </row>
    <row r="170" spans="1:29" ht="13.2" x14ac:dyDescent="0.25">
      <c r="A170" s="126" t="s">
        <v>188</v>
      </c>
      <c r="B170" s="87">
        <v>8</v>
      </c>
      <c r="C170" s="88">
        <f>13279.7/1000</f>
        <v>13.2797</v>
      </c>
      <c r="D170" s="96">
        <f ca="1">IFERROR(__xludf.DUMMYFUNCTION("$C164*IMPORTRANGE(""https://docs.google.com/spreadsheets/d/1xsp01RMmkav9iTy39Zaj_7tE9677EGlOJ14KU9TZn7I/"",""1985-2003!H3386"")"),11.55732291)</f>
        <v>11.55732291</v>
      </c>
      <c r="E170" s="96">
        <f ca="1">IFERROR(__xludf.DUMMYFUNCTION("$C164*IMPORTRANGE(""https://docs.google.com/spreadsheets/d/1xsp01RMmkav9iTy39Zaj_7tE9677EGlOJ14KU9TZn7I/"",""1985-2003!T3386"")"),8.129168355)</f>
        <v>8.1291683549999991</v>
      </c>
      <c r="F170" s="96">
        <f ca="1">IFERROR(__xludf.DUMMYFUNCTION("$C164*IMPORTRANGE(""https://docs.google.com/spreadsheets/d/1xsp01RMmkav9iTy39Zaj_7tE9677EGlOJ14KU9TZn7I/"",""1985-2003!AC3386"")"),1547.217847)</f>
        <v>1547.2178469999999</v>
      </c>
      <c r="G170" s="126" t="s">
        <v>8</v>
      </c>
      <c r="H170" s="76"/>
      <c r="I170" s="76"/>
      <c r="J170" s="76"/>
      <c r="K170" s="77"/>
      <c r="L170" s="78"/>
      <c r="M170" s="79"/>
      <c r="N170" s="79"/>
      <c r="O170" s="79"/>
      <c r="P170" s="79"/>
      <c r="Q170" s="77"/>
      <c r="R170" s="76"/>
      <c r="S170" s="76"/>
      <c r="T170" s="76"/>
      <c r="U170" s="76"/>
      <c r="V170" s="76"/>
      <c r="W170" s="76"/>
      <c r="X170" s="76"/>
      <c r="Y170" s="76"/>
      <c r="Z170" s="76"/>
      <c r="AA170" s="80"/>
      <c r="AB170" s="80"/>
      <c r="AC170" s="80"/>
    </row>
    <row r="171" spans="1:29" ht="13.2" x14ac:dyDescent="0.25">
      <c r="A171" s="128" t="s">
        <v>189</v>
      </c>
      <c r="B171" s="97">
        <v>14</v>
      </c>
      <c r="C171" s="98">
        <f>440.6/1000</f>
        <v>0.44060000000000005</v>
      </c>
      <c r="D171" s="99">
        <f ca="1">IFERROR(__xludf.DUMMYFUNCTION("$C165*IMPORTRANGE(""https://docs.google.com/spreadsheets/d/1xsp01RMmkav9iTy39Zaj_7tE9677EGlOJ14KU9TZn7I/"",""1985-2003!H3408"")"),0.38944634)</f>
        <v>0.38944634</v>
      </c>
      <c r="E171" s="99">
        <f ca="1">IFERROR(__xludf.DUMMYFUNCTION("$C165*IMPORTRANGE(""https://docs.google.com/spreadsheets/d/1xsp01RMmkav9iTy39Zaj_7tE9677EGlOJ14KU9TZn7I/"",""1985-2003!T3408"")"),0.2689863)</f>
        <v>0.26898630000000001</v>
      </c>
      <c r="F171" s="99">
        <f ca="1">IFERROR(__xludf.DUMMYFUNCTION("$C165*IMPORTRANGE(""https://docs.google.com/spreadsheets/d/1xsp01RMmkav9iTy39Zaj_7tE9677EGlOJ14KU9TZn7I/"",""1985-2003!AC3408"")"),50.351768)</f>
        <v>50.351768</v>
      </c>
      <c r="G171" s="128" t="s">
        <v>8</v>
      </c>
      <c r="H171" s="76"/>
      <c r="I171" s="76"/>
      <c r="J171" s="76"/>
      <c r="K171" s="77"/>
      <c r="L171" s="78"/>
      <c r="M171" s="79"/>
      <c r="N171" s="79"/>
      <c r="O171" s="79"/>
      <c r="P171" s="79"/>
      <c r="Q171" s="77"/>
      <c r="R171" s="76"/>
      <c r="S171" s="76"/>
      <c r="T171" s="76"/>
      <c r="U171" s="76"/>
      <c r="V171" s="76"/>
      <c r="W171" s="76"/>
      <c r="X171" s="76"/>
      <c r="Y171" s="76"/>
      <c r="Z171" s="76"/>
      <c r="AA171" s="80"/>
      <c r="AB171" s="80"/>
      <c r="AC171" s="80"/>
    </row>
    <row r="172" spans="1:29" ht="13.2" x14ac:dyDescent="0.25">
      <c r="A172" s="126" t="s">
        <v>190</v>
      </c>
      <c r="B172" s="87">
        <v>14</v>
      </c>
      <c r="C172" s="88">
        <f>1020.8/1000</f>
        <v>1.0207999999999999</v>
      </c>
      <c r="D172" s="96">
        <f ca="1">IFERROR(__xludf.DUMMYFUNCTION("$C166*IMPORTRANGE(""https://docs.google.com/spreadsheets/d/1xsp01RMmkav9iTy39Zaj_7tE9677EGlOJ14KU9TZn7I/"",""1985-2003!H3432"")"),0.930050879999999)</f>
        <v>0.93005087999999903</v>
      </c>
      <c r="E172" s="96">
        <f ca="1">IFERROR(__xludf.DUMMYFUNCTION("$C166*IMPORTRANGE(""https://docs.google.com/spreadsheets/d/1xsp01RMmkav9iTy39Zaj_7tE9677EGlOJ14KU9TZn7I/"",""1985-2003!T3432"")"),0.60880512)</f>
        <v>0.60880511999999998</v>
      </c>
      <c r="F172" s="96">
        <f ca="1">IFERROR(__xludf.DUMMYFUNCTION("$C166*IMPORTRANGE(""https://docs.google.com/spreadsheets/d/1xsp01RMmkav9iTy39Zaj_7tE9677EGlOJ14KU9TZn7I/"",""1985-2003!AC3432"")"),117.902399999999)</f>
        <v>117.90239999999901</v>
      </c>
      <c r="G172" s="126" t="s">
        <v>8</v>
      </c>
      <c r="H172" s="76"/>
      <c r="I172" s="76"/>
      <c r="J172" s="76"/>
      <c r="K172" s="77"/>
      <c r="L172" s="78"/>
      <c r="M172" s="79"/>
      <c r="N172" s="79"/>
      <c r="O172" s="79"/>
      <c r="P172" s="79"/>
      <c r="Q172" s="77"/>
      <c r="R172" s="76"/>
      <c r="S172" s="76"/>
      <c r="T172" s="76"/>
      <c r="U172" s="76"/>
      <c r="V172" s="76"/>
      <c r="W172" s="76"/>
      <c r="X172" s="76"/>
      <c r="Y172" s="76"/>
      <c r="Z172" s="76"/>
      <c r="AA172" s="80"/>
      <c r="AB172" s="80"/>
      <c r="AC172" s="80"/>
    </row>
    <row r="173" spans="1:29" ht="13.2" x14ac:dyDescent="0.25">
      <c r="A173" s="128" t="s">
        <v>191</v>
      </c>
      <c r="B173" s="97">
        <v>11</v>
      </c>
      <c r="C173" s="98">
        <f>1596.6/1000</f>
        <v>1.5966</v>
      </c>
      <c r="D173" s="99">
        <f ca="1">IFERROR(__xludf.DUMMYFUNCTION("$C167*IMPORTRANGE(""https://docs.google.com/spreadsheets/d/1xsp01RMmkav9iTy39Zaj_7tE9677EGlOJ14KU9TZn7I/"",""1985-2003!H3454"")"),1.49785029)</f>
        <v>1.4978502899999999</v>
      </c>
      <c r="E173" s="99">
        <f ca="1">IFERROR(__xludf.DUMMYFUNCTION("$C167*IMPORTRANGE(""https://docs.google.com/spreadsheets/d/1xsp01RMmkav9iTy39Zaj_7tE9677EGlOJ14KU9TZn7I/"",""1985-2003!T3454"")"),0.994122989999999)</f>
        <v>0.99412298999999904</v>
      </c>
      <c r="F173" s="99">
        <f ca="1">IFERROR(__xludf.DUMMYFUNCTION("$C167*IMPORTRANGE(""https://docs.google.com/spreadsheets/d/1xsp01RMmkav9iTy39Zaj_7tE9677EGlOJ14KU9TZn7I/"",""1985-2003!AC3454"")"),188.590392)</f>
        <v>188.59039200000001</v>
      </c>
      <c r="G173" s="128" t="s">
        <v>8</v>
      </c>
      <c r="H173" s="76"/>
      <c r="I173" s="76"/>
      <c r="J173" s="76"/>
      <c r="K173" s="77"/>
      <c r="L173" s="78"/>
      <c r="M173" s="79"/>
      <c r="N173" s="79"/>
      <c r="O173" s="79"/>
      <c r="P173" s="79"/>
      <c r="Q173" s="77"/>
      <c r="R173" s="76"/>
      <c r="S173" s="76"/>
      <c r="T173" s="76"/>
      <c r="U173" s="76"/>
      <c r="V173" s="76"/>
      <c r="W173" s="76"/>
      <c r="X173" s="76"/>
      <c r="Y173" s="76"/>
      <c r="Z173" s="76"/>
      <c r="AA173" s="80"/>
      <c r="AB173" s="80"/>
      <c r="AC173" s="80"/>
    </row>
    <row r="174" spans="1:29" ht="13.2" x14ac:dyDescent="0.25">
      <c r="A174" s="126" t="s">
        <v>192</v>
      </c>
      <c r="B174" s="103">
        <v>12</v>
      </c>
      <c r="C174" s="88">
        <f>560/1000</f>
        <v>0.56000000000000005</v>
      </c>
      <c r="D174" s="96">
        <f ca="1">IFERROR(__xludf.DUMMYFUNCTION("$C168*IMPORTRANGE(""https://docs.google.com/spreadsheets/d/1xsp01RMmkav9iTy39Zaj_7tE9677EGlOJ14KU9TZn7I/"",""1985-2003!H3477"")"),0.508312)</f>
        <v>0.50831199999999999</v>
      </c>
      <c r="E174" s="96">
        <f ca="1">IFERROR(__xludf.DUMMYFUNCTION("$C168*IMPORTRANGE(""https://docs.google.com/spreadsheets/d/1xsp01RMmkav9iTy39Zaj_7tE9677EGlOJ14KU9TZn7I/"",""1985-2003!T3477"")"),0.34902)</f>
        <v>0.34902</v>
      </c>
      <c r="F174" s="96">
        <f ca="1">IFERROR(__xludf.DUMMYFUNCTION("$C168*IMPORTRANGE(""https://docs.google.com/spreadsheets/d/1xsp01RMmkav9iTy39Zaj_7tE9677EGlOJ14KU9TZn7I/"",""1985-2003!AC3477"")"),67.788)</f>
        <v>67.787999999999997</v>
      </c>
      <c r="G174" s="126" t="s">
        <v>8</v>
      </c>
      <c r="H174" s="76"/>
      <c r="I174" s="76"/>
      <c r="J174" s="76"/>
      <c r="K174" s="77"/>
      <c r="L174" s="78"/>
      <c r="M174" s="79"/>
      <c r="N174" s="79"/>
      <c r="O174" s="79"/>
      <c r="P174" s="79"/>
      <c r="Q174" s="77"/>
      <c r="R174" s="76"/>
      <c r="S174" s="76"/>
      <c r="T174" s="76"/>
      <c r="U174" s="76"/>
      <c r="V174" s="76"/>
      <c r="W174" s="76"/>
      <c r="X174" s="76"/>
      <c r="Y174" s="76"/>
      <c r="Z174" s="76"/>
      <c r="AA174" s="80"/>
      <c r="AB174" s="80"/>
      <c r="AC174" s="80"/>
    </row>
    <row r="175" spans="1:29" ht="13.2" x14ac:dyDescent="0.25">
      <c r="A175" s="128" t="s">
        <v>193</v>
      </c>
      <c r="B175" s="97">
        <v>17</v>
      </c>
      <c r="C175" s="98">
        <f>5008.1/1000</f>
        <v>5.0081000000000007</v>
      </c>
      <c r="D175" s="99">
        <f ca="1">IFERROR(__xludf.DUMMYFUNCTION("$C169*IMPORTRANGE(""https://docs.google.com/spreadsheets/d/1xsp01RMmkav9iTy39Zaj_7tE9677EGlOJ14KU9TZn7I/"",""1985-2003!H3501"")"),4.47774221)</f>
        <v>4.4777422099999997</v>
      </c>
      <c r="E175" s="99">
        <f ca="1">IFERROR(__xludf.DUMMYFUNCTION("$C169*IMPORTRANGE(""https://docs.google.com/spreadsheets/d/1xsp01RMmkav9iTy39Zaj_7tE9677EGlOJ14KU9TZn7I/"",""1985-2003!T3501"")"),3.0849896)</f>
        <v>3.0849896000000001</v>
      </c>
      <c r="F175" s="99">
        <f ca="1">IFERROR(__xludf.DUMMYFUNCTION("$C169*IMPORTRANGE(""https://docs.google.com/spreadsheets/d/1xsp01RMmkav9iTy39Zaj_7tE9677EGlOJ14KU9TZn7I/"",""1985-2003!AC3501"")"),606.230505)</f>
        <v>606.23050499999999</v>
      </c>
      <c r="G175" s="128" t="s">
        <v>8</v>
      </c>
      <c r="H175" s="76"/>
      <c r="I175" s="76"/>
      <c r="J175" s="76"/>
      <c r="K175" s="77"/>
      <c r="L175" s="78"/>
      <c r="M175" s="79"/>
      <c r="N175" s="79"/>
      <c r="O175" s="79"/>
      <c r="P175" s="79"/>
      <c r="Q175" s="77"/>
      <c r="R175" s="76"/>
      <c r="S175" s="76"/>
      <c r="T175" s="76"/>
      <c r="U175" s="76"/>
      <c r="V175" s="76"/>
      <c r="W175" s="76"/>
      <c r="X175" s="76"/>
      <c r="Y175" s="76"/>
      <c r="Z175" s="76"/>
      <c r="AA175" s="80"/>
      <c r="AB175" s="80"/>
      <c r="AC175" s="80"/>
    </row>
    <row r="176" spans="1:29" ht="13.2" x14ac:dyDescent="0.25">
      <c r="A176" s="126" t="s">
        <v>194</v>
      </c>
      <c r="B176" s="87">
        <v>20</v>
      </c>
      <c r="C176" s="88">
        <f>6052.8/1000</f>
        <v>6.0528000000000004</v>
      </c>
      <c r="D176" s="96">
        <f ca="1">IFERROR(__xludf.DUMMYFUNCTION("$C170*IMPORTRANGE(""https://docs.google.com/spreadsheets/d/1xsp01RMmkav9iTy39Zaj_7tE9677EGlOJ14KU9TZn7I/"",""1985-2003!H3522"")"),5.31799008)</f>
        <v>5.3179900800000004</v>
      </c>
      <c r="E176" s="96">
        <f ca="1">IFERROR(__xludf.DUMMYFUNCTION("$C170*IMPORTRANGE(""https://docs.google.com/spreadsheets/d/1xsp01RMmkav9iTy39Zaj_7tE9677EGlOJ14KU9TZn7I/"",""1985-2003!T3522"")"),3.57841535999999)</f>
        <v>3.5784153599999899</v>
      </c>
      <c r="F176" s="96">
        <f ca="1">IFERROR(__xludf.DUMMYFUNCTION("$C170*IMPORTRANGE(""https://docs.google.com/spreadsheets/d/1xsp01RMmkav9iTy39Zaj_7tE9677EGlOJ14KU9TZn7I/"",""1985-2003!AC3522"")"),761.714616)</f>
        <v>761.71461599999998</v>
      </c>
      <c r="G176" s="126" t="s">
        <v>8</v>
      </c>
      <c r="H176" s="76"/>
      <c r="I176" s="76"/>
      <c r="J176" s="76"/>
      <c r="K176" s="77"/>
      <c r="L176" s="78"/>
      <c r="M176" s="79"/>
      <c r="N176" s="79"/>
      <c r="O176" s="79"/>
      <c r="P176" s="79"/>
      <c r="Q176" s="77"/>
      <c r="R176" s="76"/>
      <c r="S176" s="76"/>
      <c r="T176" s="76"/>
      <c r="U176" s="76"/>
      <c r="V176" s="76"/>
      <c r="W176" s="76"/>
      <c r="X176" s="76"/>
      <c r="Y176" s="76"/>
      <c r="Z176" s="76"/>
      <c r="AA176" s="80"/>
      <c r="AB176" s="80"/>
      <c r="AC176" s="80"/>
    </row>
    <row r="177" spans="1:29" ht="13.2" x14ac:dyDescent="0.25">
      <c r="A177" s="129" t="s">
        <v>195</v>
      </c>
      <c r="B177" s="100">
        <v>31</v>
      </c>
      <c r="C177" s="101">
        <f>2953.1/1000</f>
        <v>2.9531000000000001</v>
      </c>
      <c r="D177" s="102">
        <f ca="1">IFERROR(__xludf.DUMMYFUNCTION("$C171*IMPORTRANGE(""https://docs.google.com/spreadsheets/d/1xsp01RMmkav9iTy39Zaj_7tE9677EGlOJ14KU9TZn7I/"",""1985-2003!H3546"")"),2.66281027)</f>
        <v>2.66281027</v>
      </c>
      <c r="E177" s="102">
        <f ca="1">IFERROR(__xludf.DUMMYFUNCTION("$C171*IMPORTRANGE(""https://docs.google.com/spreadsheets/d/1xsp01RMmkav9iTy39Zaj_7tE9677EGlOJ14KU9TZn7I/"",""1985-2003!T3546"")"),1.78190054)</f>
        <v>1.7819005400000001</v>
      </c>
      <c r="F177" s="102">
        <f ca="1">IFERROR(__xludf.DUMMYFUNCTION("$C171*IMPORTRANGE(""https://docs.google.com/spreadsheets/d/1xsp01RMmkav9iTy39Zaj_7tE9677EGlOJ14KU9TZn7I/"",""1985-2003!AC3546"")"),383.164725)</f>
        <v>383.16472499999998</v>
      </c>
      <c r="G177" s="129" t="s">
        <v>8</v>
      </c>
      <c r="H177" s="76"/>
      <c r="I177" s="76"/>
      <c r="J177" s="76"/>
      <c r="K177" s="77"/>
      <c r="L177" s="78"/>
      <c r="M177" s="79"/>
      <c r="N177" s="79"/>
      <c r="O177" s="79"/>
      <c r="P177" s="79"/>
      <c r="Q177" s="77"/>
      <c r="R177" s="76"/>
      <c r="S177" s="76"/>
      <c r="T177" s="76"/>
      <c r="U177" s="76"/>
      <c r="V177" s="76"/>
      <c r="W177" s="76"/>
      <c r="X177" s="76"/>
      <c r="Y177" s="76"/>
      <c r="Z177" s="76"/>
      <c r="AA177" s="80"/>
      <c r="AB177" s="80"/>
      <c r="AC177" s="80"/>
    </row>
    <row r="178" spans="1:29" ht="13.2" x14ac:dyDescent="0.25">
      <c r="A178" s="120">
        <v>1998</v>
      </c>
      <c r="B178" s="121"/>
      <c r="C178" s="122"/>
      <c r="D178" s="122"/>
      <c r="E178" s="122"/>
      <c r="F178" s="122"/>
      <c r="G178" s="123"/>
      <c r="H178" s="76"/>
      <c r="I178" s="76"/>
      <c r="J178" s="76"/>
      <c r="K178" s="77"/>
      <c r="L178" s="78"/>
      <c r="M178" s="79"/>
      <c r="N178" s="79"/>
      <c r="O178" s="79"/>
      <c r="P178" s="79"/>
      <c r="Q178" s="77"/>
      <c r="R178" s="76"/>
      <c r="S178" s="76"/>
      <c r="T178" s="76"/>
      <c r="U178" s="76"/>
      <c r="V178" s="76"/>
      <c r="W178" s="76"/>
      <c r="X178" s="76"/>
      <c r="Y178" s="76"/>
      <c r="Z178" s="76"/>
      <c r="AA178" s="80"/>
      <c r="AB178" s="80"/>
      <c r="AC178" s="80"/>
    </row>
    <row r="179" spans="1:29" ht="13.2" x14ac:dyDescent="0.25">
      <c r="A179" s="124" t="s">
        <v>196</v>
      </c>
      <c r="B179" s="84">
        <v>25</v>
      </c>
      <c r="C179" s="85">
        <f>5708.8/1000</f>
        <v>5.7088000000000001</v>
      </c>
      <c r="D179" s="95">
        <f ca="1">IFERROR(__xludf.DUMMYFUNCTION("$C173*IMPORTRANGE(""https://docs.google.com/spreadsheets/d/1xsp01RMmkav9iTy39Zaj_7tE9677EGlOJ14KU9TZn7I/"",""1985-2003!H3569"")"),5.28749056)</f>
        <v>5.2874905600000002</v>
      </c>
      <c r="E179" s="95">
        <f ca="1">IFERROR(__xludf.DUMMYFUNCTION("$C173*IMPORTRANGE(""https://docs.google.com/spreadsheets/d/1xsp01RMmkav9iTy39Zaj_7tE9677EGlOJ14KU9TZn7I/"",""1985-2003!T3569"")"),3.49492735999999)</f>
        <v>3.4949273599999899</v>
      </c>
      <c r="F179" s="95">
        <f ca="1">IFERROR(__xludf.DUMMYFUNCTION("$C173*IMPORTRANGE(""https://docs.google.com/spreadsheets/d/1xsp01RMmkav9iTy39Zaj_7tE9677EGlOJ14KU9TZn7I/"",""1985-2003!AC3569"")"),737.8624)</f>
        <v>737.86239999999998</v>
      </c>
      <c r="G179" s="124" t="s">
        <v>8</v>
      </c>
      <c r="H179" s="76"/>
      <c r="I179" s="76"/>
      <c r="J179" s="76"/>
      <c r="K179" s="77"/>
      <c r="L179" s="78"/>
      <c r="M179" s="79"/>
      <c r="N179" s="79"/>
      <c r="O179" s="79"/>
      <c r="P179" s="79"/>
      <c r="Q179" s="77"/>
      <c r="R179" s="76"/>
      <c r="S179" s="76"/>
      <c r="T179" s="76"/>
      <c r="U179" s="76"/>
      <c r="V179" s="76"/>
      <c r="W179" s="76"/>
      <c r="X179" s="76"/>
      <c r="Y179" s="76"/>
      <c r="Z179" s="76"/>
      <c r="AA179" s="80"/>
      <c r="AB179" s="80"/>
      <c r="AC179" s="80"/>
    </row>
    <row r="180" spans="1:29" ht="13.2" x14ac:dyDescent="0.25">
      <c r="A180" s="128" t="s">
        <v>197</v>
      </c>
      <c r="B180" s="97">
        <v>46</v>
      </c>
      <c r="C180" s="98">
        <f>4891.7/1000</f>
        <v>4.8917000000000002</v>
      </c>
      <c r="D180" s="99">
        <f ca="1">IFERROR(__xludf.DUMMYFUNCTION("$C174*IMPORTRANGE(""https://docs.google.com/spreadsheets/d/1xsp01RMmkav9iTy39Zaj_7tE9677EGlOJ14KU9TZn7I/"",""1985-2003!H3590"")"),4.517729535)</f>
        <v>4.517729535</v>
      </c>
      <c r="E180" s="99">
        <f ca="1">IFERROR(__xludf.DUMMYFUNCTION("$C174*IMPORTRANGE(""https://docs.google.com/spreadsheets/d/1xsp01RMmkav9iTy39Zaj_7tE9677EGlOJ14KU9TZn7I/"",""1985-2003!T3590"")"),2.98442617)</f>
        <v>2.9844261699999999</v>
      </c>
      <c r="F180" s="99">
        <f ca="1">IFERROR(__xludf.DUMMYFUNCTION("$C174*IMPORTRANGE(""https://docs.google.com/spreadsheets/d/1xsp01RMmkav9iTy39Zaj_7tE9677EGlOJ14KU9TZn7I/"",""1985-2003!AC3590"")"),616.011781)</f>
        <v>616.01178100000004</v>
      </c>
      <c r="G180" s="128" t="s">
        <v>8</v>
      </c>
      <c r="H180" s="76"/>
      <c r="I180" s="76"/>
      <c r="J180" s="76"/>
      <c r="K180" s="77"/>
      <c r="L180" s="78"/>
      <c r="M180" s="79"/>
      <c r="N180" s="79"/>
      <c r="O180" s="79"/>
      <c r="P180" s="79"/>
      <c r="Q180" s="77"/>
      <c r="R180" s="76"/>
      <c r="S180" s="76"/>
      <c r="T180" s="76"/>
      <c r="U180" s="76"/>
      <c r="V180" s="76"/>
      <c r="W180" s="76"/>
      <c r="X180" s="76"/>
      <c r="Y180" s="76"/>
      <c r="Z180" s="76"/>
      <c r="AA180" s="80"/>
      <c r="AB180" s="80"/>
      <c r="AC180" s="80"/>
    </row>
    <row r="181" spans="1:29" ht="13.2" x14ac:dyDescent="0.25">
      <c r="A181" s="126" t="s">
        <v>198</v>
      </c>
      <c r="B181" s="87">
        <v>42</v>
      </c>
      <c r="C181" s="88">
        <f>5949.5/1000</f>
        <v>5.9494999999999996</v>
      </c>
      <c r="D181" s="96">
        <f ca="1">IFERROR(__xludf.DUMMYFUNCTION("$C175*IMPORTRANGE(""https://docs.google.com/spreadsheets/d/1xsp01RMmkav9iTy39Zaj_7tE9677EGlOJ14KU9TZn7I/"",""1985-2003!H3613"")"),5.51697134999999)</f>
        <v>5.5169713499999897</v>
      </c>
      <c r="E181" s="96">
        <f ca="1">IFERROR(__xludf.DUMMYFUNCTION("$C175*IMPORTRANGE(""https://docs.google.com/spreadsheets/d/1xsp01RMmkav9iTy39Zaj_7tE9677EGlOJ14KU9TZn7I/"",""1985-2003!T3613"")"),3.56940252499999)</f>
        <v>3.5694025249999899</v>
      </c>
      <c r="F181" s="96">
        <f ca="1">IFERROR(__xludf.DUMMYFUNCTION("$C175*IMPORTRANGE(""https://docs.google.com/spreadsheets/d/1xsp01RMmkav9iTy39Zaj_7tE9677EGlOJ14KU9TZn7I/"",""1985-2003!AC3613"")"),767.36651)</f>
        <v>767.36650999999995</v>
      </c>
      <c r="G181" s="126" t="s">
        <v>8</v>
      </c>
      <c r="H181" s="76"/>
      <c r="I181" s="76"/>
      <c r="J181" s="76"/>
      <c r="K181" s="77"/>
      <c r="L181" s="78"/>
      <c r="M181" s="79"/>
      <c r="N181" s="79"/>
      <c r="O181" s="79"/>
      <c r="P181" s="79"/>
      <c r="Q181" s="77"/>
      <c r="R181" s="76"/>
      <c r="S181" s="76"/>
      <c r="T181" s="76"/>
      <c r="U181" s="76"/>
      <c r="V181" s="76"/>
      <c r="W181" s="76"/>
      <c r="X181" s="76"/>
      <c r="Y181" s="76"/>
      <c r="Z181" s="76"/>
      <c r="AA181" s="80"/>
      <c r="AB181" s="80"/>
      <c r="AC181" s="80"/>
    </row>
    <row r="182" spans="1:29" ht="13.2" x14ac:dyDescent="0.25">
      <c r="A182" s="128" t="s">
        <v>199</v>
      </c>
      <c r="B182" s="97">
        <v>48</v>
      </c>
      <c r="C182" s="98">
        <f>6992.5/1000</f>
        <v>6.9924999999999997</v>
      </c>
      <c r="D182" s="99">
        <f ca="1">IFERROR(__xludf.DUMMYFUNCTION("$C176*IMPORTRANGE(""https://docs.google.com/spreadsheets/d/1xsp01RMmkav9iTy39Zaj_7tE9677EGlOJ14KU9TZn7I/"",""1985-2003!H3636"")"),6.40163374999999)</f>
        <v>6.4016337499999896</v>
      </c>
      <c r="E182" s="99">
        <f ca="1">IFERROR(__xludf.DUMMYFUNCTION("$C176*IMPORTRANGE(""https://docs.google.com/spreadsheets/d/1xsp01RMmkav9iTy39Zaj_7tE9677EGlOJ14KU9TZn7I/"",""1985-2003!T3636"")"),4.1829135)</f>
        <v>4.1829134999999997</v>
      </c>
      <c r="F182" s="99">
        <f ca="1">IFERROR(__xludf.DUMMYFUNCTION("$C176*IMPORTRANGE(""https://docs.google.com/spreadsheets/d/1xsp01RMmkav9iTy39Zaj_7tE9677EGlOJ14KU9TZn7I/"",""1985-2003!AC3636"")"),921.366762499999)</f>
        <v>921.36676249999903</v>
      </c>
      <c r="G182" s="128" t="s">
        <v>8</v>
      </c>
      <c r="H182" s="76"/>
      <c r="I182" s="76"/>
      <c r="J182" s="76"/>
      <c r="K182" s="77"/>
      <c r="L182" s="78"/>
      <c r="M182" s="79"/>
      <c r="N182" s="79"/>
      <c r="O182" s="79"/>
      <c r="P182" s="79"/>
      <c r="Q182" s="77"/>
      <c r="R182" s="76"/>
      <c r="S182" s="76"/>
      <c r="T182" s="76"/>
      <c r="U182" s="76"/>
      <c r="V182" s="76"/>
      <c r="W182" s="76"/>
      <c r="X182" s="76"/>
      <c r="Y182" s="76"/>
      <c r="Z182" s="76"/>
      <c r="AA182" s="80"/>
      <c r="AB182" s="80"/>
      <c r="AC182" s="80"/>
    </row>
    <row r="183" spans="1:29" ht="13.2" x14ac:dyDescent="0.25">
      <c r="A183" s="126" t="s">
        <v>200</v>
      </c>
      <c r="B183" s="87">
        <v>36</v>
      </c>
      <c r="C183" s="88">
        <f>61999/1000</f>
        <v>61.999000000000002</v>
      </c>
      <c r="D183" s="96">
        <f ca="1">IFERROR(__xludf.DUMMYFUNCTION("$C177*IMPORTRANGE(""https://docs.google.com/spreadsheets/d/1xsp01RMmkav9iTy39Zaj_7tE9677EGlOJ14KU9TZn7I/"",""1985-2003!H3658"")"),56.1214948)</f>
        <v>56.121494800000001</v>
      </c>
      <c r="E183" s="96">
        <f ca="1">IFERROR(__xludf.DUMMYFUNCTION("$C177*IMPORTRANGE(""https://docs.google.com/spreadsheets/d/1xsp01RMmkav9iTy39Zaj_7tE9677EGlOJ14KU9TZn7I/"",""1985-2003!T3658"")"),37.9991871)</f>
        <v>37.9991871</v>
      </c>
      <c r="F183" s="96">
        <f ca="1">IFERROR(__xludf.DUMMYFUNCTION("$C177*IMPORTRANGE(""https://docs.google.com/spreadsheets/d/1xsp01RMmkav9iTy39Zaj_7tE9677EGlOJ14KU9TZn7I/"",""1985-2003!AC3658"")"),8337.00553)</f>
        <v>8337.0055300000004</v>
      </c>
      <c r="G183" s="126" t="s">
        <v>8</v>
      </c>
      <c r="H183" s="76"/>
      <c r="I183" s="76"/>
      <c r="J183" s="76"/>
      <c r="K183" s="77"/>
      <c r="L183" s="78"/>
      <c r="M183" s="79"/>
      <c r="N183" s="79"/>
      <c r="O183" s="79"/>
      <c r="P183" s="79"/>
      <c r="Q183" s="77"/>
      <c r="R183" s="76"/>
      <c r="S183" s="76"/>
      <c r="T183" s="76"/>
      <c r="U183" s="76"/>
      <c r="V183" s="76"/>
      <c r="W183" s="76"/>
      <c r="X183" s="76"/>
      <c r="Y183" s="76"/>
      <c r="Z183" s="76"/>
      <c r="AA183" s="80"/>
      <c r="AB183" s="80"/>
      <c r="AC183" s="80"/>
    </row>
    <row r="184" spans="1:29" ht="13.2" x14ac:dyDescent="0.25">
      <c r="A184" s="128" t="s">
        <v>201</v>
      </c>
      <c r="B184" s="97">
        <v>62</v>
      </c>
      <c r="C184" s="98">
        <f>24338.8/1000</f>
        <v>24.338799999999999</v>
      </c>
      <c r="D184" s="99">
        <f ca="1">IFERROR(__xludf.DUMMYFUNCTION("$C178*IMPORTRANGE(""https://docs.google.com/spreadsheets/d/1xsp01RMmkav9iTy39Zaj_7tE9677EGlOJ14KU9TZn7I/"",""1985-2003!H3681"")"),22.20428724)</f>
        <v>22.204287239999999</v>
      </c>
      <c r="E184" s="99">
        <f ca="1">IFERROR(__xludf.DUMMYFUNCTION("$C178*IMPORTRANGE(""https://docs.google.com/spreadsheets/d/1xsp01RMmkav9iTy39Zaj_7tE9677EGlOJ14KU9TZn7I/"",""1985-2003!T3681"")"),14.78947182)</f>
        <v>14.789471819999999</v>
      </c>
      <c r="F184" s="99">
        <f ca="1">IFERROR(__xludf.DUMMYFUNCTION("$C178*IMPORTRANGE(""https://docs.google.com/spreadsheets/d/1xsp01RMmkav9iTy39Zaj_7tE9677EGlOJ14KU9TZn7I/"",""1985-2003!AC3681"")"),3408.64894)</f>
        <v>3408.64894</v>
      </c>
      <c r="G184" s="128" t="s">
        <v>8</v>
      </c>
      <c r="H184" s="76"/>
      <c r="I184" s="76"/>
      <c r="J184" s="76"/>
      <c r="K184" s="77"/>
      <c r="L184" s="78"/>
      <c r="M184" s="79"/>
      <c r="N184" s="79"/>
      <c r="O184" s="79"/>
      <c r="P184" s="79"/>
      <c r="Q184" s="77"/>
      <c r="R184" s="76"/>
      <c r="S184" s="76"/>
      <c r="T184" s="76"/>
      <c r="U184" s="76"/>
      <c r="V184" s="76"/>
      <c r="W184" s="76"/>
      <c r="X184" s="76"/>
      <c r="Y184" s="76"/>
      <c r="Z184" s="76"/>
      <c r="AA184" s="80"/>
      <c r="AB184" s="80"/>
      <c r="AC184" s="80"/>
    </row>
    <row r="185" spans="1:29" ht="13.2" x14ac:dyDescent="0.25">
      <c r="A185" s="126" t="s">
        <v>202</v>
      </c>
      <c r="B185" s="87">
        <v>55</v>
      </c>
      <c r="C185" s="88">
        <f>3878.6/1000</f>
        <v>3.8786</v>
      </c>
      <c r="D185" s="96">
        <f ca="1">IFERROR(__xludf.DUMMYFUNCTION("$C179*IMPORTRANGE(""https://docs.google.com/spreadsheets/d/1xsp01RMmkav9iTy39Zaj_7tE9677EGlOJ14KU9TZn7I/"",""1985-2003!H3705"")"),3.53262888)</f>
        <v>3.5326288799999999</v>
      </c>
      <c r="E185" s="96">
        <f ca="1">IFERROR(__xludf.DUMMYFUNCTION("$C179*IMPORTRANGE(""https://docs.google.com/spreadsheets/d/1xsp01RMmkav9iTy39Zaj_7tE9677EGlOJ14KU9TZn7I/"",""1985-2003!T3705"")"),2.36167954)</f>
        <v>2.3616795399999999</v>
      </c>
      <c r="F185" s="96">
        <f ca="1">IFERROR(__xludf.DUMMYFUNCTION("$C179*IMPORTRANGE(""https://docs.google.com/spreadsheets/d/1xsp01RMmkav9iTy39Zaj_7tE9677EGlOJ14KU9TZn7I/"",""1985-2003!AC3705"")"),545.796592)</f>
        <v>545.79659200000003</v>
      </c>
      <c r="G185" s="126" t="s">
        <v>8</v>
      </c>
      <c r="H185" s="76"/>
      <c r="I185" s="76"/>
      <c r="J185" s="76"/>
      <c r="K185" s="77"/>
      <c r="L185" s="78"/>
      <c r="M185" s="79"/>
      <c r="N185" s="79"/>
      <c r="O185" s="79"/>
      <c r="P185" s="79"/>
      <c r="Q185" s="77"/>
      <c r="R185" s="76"/>
      <c r="S185" s="76"/>
      <c r="T185" s="76"/>
      <c r="U185" s="76"/>
      <c r="V185" s="76"/>
      <c r="W185" s="76"/>
      <c r="X185" s="76"/>
      <c r="Y185" s="76"/>
      <c r="Z185" s="76"/>
      <c r="AA185" s="80"/>
      <c r="AB185" s="80"/>
      <c r="AC185" s="80"/>
    </row>
    <row r="186" spans="1:29" ht="13.2" x14ac:dyDescent="0.25">
      <c r="A186" s="128" t="s">
        <v>203</v>
      </c>
      <c r="B186" s="104">
        <v>41</v>
      </c>
      <c r="C186" s="98">
        <f>57577/1000</f>
        <v>57.576999999999998</v>
      </c>
      <c r="D186" s="99">
        <f ca="1">IFERROR(__xludf.DUMMYFUNCTION("$C180*IMPORTRANGE(""https://docs.google.com/spreadsheets/d/1xsp01RMmkav9iTy39Zaj_7tE9677EGlOJ14KU9TZn7I/"",""1985-2003!H3727"")"),52.47279895)</f>
        <v>52.472798949999998</v>
      </c>
      <c r="E186" s="99">
        <f ca="1">IFERROR(__xludf.DUMMYFUNCTION("$C180*IMPORTRANGE(""https://docs.google.com/spreadsheets/d/1xsp01RMmkav9iTy39Zaj_7tE9677EGlOJ14KU9TZn7I/"",""1985-2003!T3727"")"),35.2774279)</f>
        <v>35.277427899999999</v>
      </c>
      <c r="F186" s="99">
        <f ca="1">IFERROR(__xludf.DUMMYFUNCTION("$C180*IMPORTRANGE(""https://docs.google.com/spreadsheets/d/1xsp01RMmkav9iTy39Zaj_7tE9677EGlOJ14KU9TZn7I/"",""1985-2003!AC3727"")"),8326.20997)</f>
        <v>8326.2099699999999</v>
      </c>
      <c r="G186" s="128" t="s">
        <v>8</v>
      </c>
      <c r="H186" s="76"/>
      <c r="I186" s="76"/>
      <c r="J186" s="76"/>
      <c r="K186" s="77"/>
      <c r="L186" s="78"/>
      <c r="M186" s="79"/>
      <c r="N186" s="79"/>
      <c r="O186" s="79"/>
      <c r="P186" s="79"/>
      <c r="Q186" s="77"/>
      <c r="R186" s="76"/>
      <c r="S186" s="76"/>
      <c r="T186" s="76"/>
      <c r="U186" s="76"/>
      <c r="V186" s="76"/>
      <c r="W186" s="76"/>
      <c r="X186" s="76"/>
      <c r="Y186" s="76"/>
      <c r="Z186" s="76"/>
      <c r="AA186" s="80"/>
      <c r="AB186" s="80"/>
      <c r="AC186" s="80"/>
    </row>
    <row r="187" spans="1:29" ht="13.2" x14ac:dyDescent="0.25">
      <c r="A187" s="126" t="s">
        <v>204</v>
      </c>
      <c r="B187" s="87">
        <v>46</v>
      </c>
      <c r="C187" s="88">
        <f>3288.7/1000</f>
        <v>3.2887</v>
      </c>
      <c r="D187" s="96">
        <f ca="1">IFERROR(__xludf.DUMMYFUNCTION("$C181*IMPORTRANGE(""https://docs.google.com/spreadsheets/d/1xsp01RMmkav9iTy39Zaj_7tE9677EGlOJ14KU9TZn7I/"",""1985-2003!H3750"")"),2.836010445)</f>
        <v>2.8360104449999999</v>
      </c>
      <c r="E187" s="96">
        <f ca="1">IFERROR(__xludf.DUMMYFUNCTION("$C181*IMPORTRANGE(""https://docs.google.com/spreadsheets/d/1xsp01RMmkav9iTy39Zaj_7tE9677EGlOJ14KU9TZn7I/"",""1985-2003!T3750"")"),1.957269805)</f>
        <v>1.9572698049999999</v>
      </c>
      <c r="F187" s="96">
        <f ca="1">IFERROR(__xludf.DUMMYFUNCTION("$C181*IMPORTRANGE(""https://docs.google.com/spreadsheets/d/1xsp01RMmkav9iTy39Zaj_7tE9677EGlOJ14KU9TZn7I/"",""1985-2003!AC3750"")"),442.2479325)</f>
        <v>442.24793249999999</v>
      </c>
      <c r="G187" s="126" t="s">
        <v>8</v>
      </c>
      <c r="H187" s="76"/>
      <c r="I187" s="76"/>
      <c r="J187" s="76"/>
      <c r="K187" s="77"/>
      <c r="L187" s="78"/>
      <c r="M187" s="79"/>
      <c r="N187" s="79"/>
      <c r="O187" s="79"/>
      <c r="P187" s="79"/>
      <c r="Q187" s="77"/>
      <c r="R187" s="76"/>
      <c r="S187" s="76"/>
      <c r="T187" s="76"/>
      <c r="U187" s="76"/>
      <c r="V187" s="76"/>
      <c r="W187" s="76"/>
      <c r="X187" s="76"/>
      <c r="Y187" s="76"/>
      <c r="Z187" s="76"/>
      <c r="AA187" s="80"/>
      <c r="AB187" s="80"/>
      <c r="AC187" s="80"/>
    </row>
    <row r="188" spans="1:29" ht="13.2" x14ac:dyDescent="0.25">
      <c r="A188" s="128" t="s">
        <v>205</v>
      </c>
      <c r="B188" s="97">
        <v>44</v>
      </c>
      <c r="C188" s="98">
        <f>5343.2/1000</f>
        <v>5.3431999999999995</v>
      </c>
      <c r="D188" s="99">
        <f ca="1">IFERROR(__xludf.DUMMYFUNCTION("$C182*IMPORTRANGE(""https://docs.google.com/spreadsheets/d/1xsp01RMmkav9iTy39Zaj_7tE9677EGlOJ14KU9TZn7I/"",""1985-2003!H3773"")"),4.46370928)</f>
        <v>4.4637092799999998</v>
      </c>
      <c r="E188" s="99">
        <f ca="1">IFERROR(__xludf.DUMMYFUNCTION("$C182*IMPORTRANGE(""https://docs.google.com/spreadsheets/d/1xsp01RMmkav9iTy39Zaj_7tE9677EGlOJ14KU9TZn7I/"",""1985-2003!T3773"")"),3.14687763999999)</f>
        <v>3.1468776399999898</v>
      </c>
      <c r="F188" s="99">
        <f ca="1">IFERROR(__xludf.DUMMYFUNCTION("$C182*IMPORTRANGE(""https://docs.google.com/spreadsheets/d/1xsp01RMmkav9iTy39Zaj_7tE9677EGlOJ14KU9TZn7I/"",""1985-2003!AC3773"")"),630.577747999999)</f>
        <v>630.57774799999902</v>
      </c>
      <c r="G188" s="128" t="s">
        <v>8</v>
      </c>
      <c r="H188" s="76"/>
      <c r="I188" s="76"/>
      <c r="J188" s="76"/>
      <c r="K188" s="77"/>
      <c r="L188" s="78"/>
      <c r="M188" s="79"/>
      <c r="N188" s="79"/>
      <c r="O188" s="79"/>
      <c r="P188" s="79"/>
      <c r="Q188" s="77"/>
      <c r="R188" s="76"/>
      <c r="S188" s="76"/>
      <c r="T188" s="76"/>
      <c r="U188" s="76"/>
      <c r="V188" s="76"/>
      <c r="W188" s="76"/>
      <c r="X188" s="76"/>
      <c r="Y188" s="76"/>
      <c r="Z188" s="76"/>
      <c r="AA188" s="80"/>
      <c r="AB188" s="80"/>
      <c r="AC188" s="80"/>
    </row>
    <row r="189" spans="1:29" ht="13.2" x14ac:dyDescent="0.25">
      <c r="A189" s="126" t="s">
        <v>206</v>
      </c>
      <c r="B189" s="87">
        <v>28</v>
      </c>
      <c r="C189" s="88">
        <f>4676.2/1000</f>
        <v>4.6761999999999997</v>
      </c>
      <c r="D189" s="96">
        <f ca="1">IFERROR(__xludf.DUMMYFUNCTION("$C183*IMPORTRANGE(""https://docs.google.com/spreadsheets/d/1xsp01RMmkav9iTy39Zaj_7tE9677EGlOJ14KU9TZn7I/"",""1985-2003!H3795"")"),4.01358245999999)</f>
        <v>4.0135824599999896</v>
      </c>
      <c r="E189" s="96">
        <f ca="1">IFERROR(__xludf.DUMMYFUNCTION("$C183*IMPORTRANGE(""https://docs.google.com/spreadsheets/d/1xsp01RMmkav9iTy39Zaj_7tE9677EGlOJ14KU9TZn7I/"",""1985-2003!T3795"")"),2.81507239999999)</f>
        <v>2.8150723999999898</v>
      </c>
      <c r="F189" s="96">
        <f ca="1">IFERROR(__xludf.DUMMYFUNCTION("$C183*IMPORTRANGE(""https://docs.google.com/spreadsheets/d/1xsp01RMmkav9iTy39Zaj_7tE9677EGlOJ14KU9TZn7I/"",""1985-2003!AC3795"")"),566.381344)</f>
        <v>566.38134400000001</v>
      </c>
      <c r="G189" s="126" t="s">
        <v>8</v>
      </c>
      <c r="H189" s="76"/>
      <c r="I189" s="76"/>
      <c r="J189" s="76"/>
      <c r="K189" s="77"/>
      <c r="L189" s="78"/>
      <c r="M189" s="79"/>
      <c r="N189" s="79"/>
      <c r="O189" s="79"/>
      <c r="P189" s="79"/>
      <c r="Q189" s="77"/>
      <c r="R189" s="76"/>
      <c r="S189" s="76"/>
      <c r="T189" s="76"/>
      <c r="U189" s="76"/>
      <c r="V189" s="76"/>
      <c r="W189" s="76"/>
      <c r="X189" s="76"/>
      <c r="Y189" s="76"/>
      <c r="Z189" s="76"/>
      <c r="AA189" s="80"/>
      <c r="AB189" s="80"/>
      <c r="AC189" s="80"/>
    </row>
    <row r="190" spans="1:29" ht="13.2" x14ac:dyDescent="0.25">
      <c r="A190" s="129" t="s">
        <v>207</v>
      </c>
      <c r="B190" s="100">
        <v>101</v>
      </c>
      <c r="C190" s="101">
        <f>8213.4/1000</f>
        <v>8.2134</v>
      </c>
      <c r="D190" s="102">
        <f ca="1">IFERROR(__xludf.DUMMYFUNCTION("$C184*IMPORTRANGE(""https://docs.google.com/spreadsheets/d/1xsp01RMmkav9iTy39Zaj_7tE9677EGlOJ14KU9TZn7I/"",""1985-2003!H3819"")"),7.00685153999999)</f>
        <v>7.0068515399999898</v>
      </c>
      <c r="E190" s="102">
        <f ca="1">IFERROR(__xludf.DUMMYFUNCTION("$C184*IMPORTRANGE(""https://docs.google.com/spreadsheets/d/1xsp01RMmkav9iTy39Zaj_7tE9677EGlOJ14KU9TZn7I/"",""1985-2003!T3819"")"),4.90997052)</f>
        <v>4.9099705199999999</v>
      </c>
      <c r="F190" s="102">
        <f ca="1">IFERROR(__xludf.DUMMYFUNCTION("$C184*IMPORTRANGE(""https://docs.google.com/spreadsheets/d/1xsp01RMmkav9iTy39Zaj_7tE9677EGlOJ14KU9TZn7I/"",""1985-2003!AC3819"")"),957.436037999999)</f>
        <v>957.43603799999903</v>
      </c>
      <c r="G190" s="129" t="s">
        <v>8</v>
      </c>
      <c r="H190" s="76"/>
      <c r="I190" s="76"/>
      <c r="J190" s="76"/>
      <c r="K190" s="77"/>
      <c r="L190" s="78"/>
      <c r="M190" s="79"/>
      <c r="N190" s="79"/>
      <c r="O190" s="79"/>
      <c r="P190" s="79"/>
      <c r="Q190" s="77"/>
      <c r="R190" s="76"/>
      <c r="S190" s="76"/>
      <c r="T190" s="76"/>
      <c r="U190" s="76"/>
      <c r="V190" s="76"/>
      <c r="W190" s="76"/>
      <c r="X190" s="76"/>
      <c r="Y190" s="76"/>
      <c r="Z190" s="76"/>
      <c r="AA190" s="80"/>
      <c r="AB190" s="80"/>
      <c r="AC190" s="80"/>
    </row>
    <row r="191" spans="1:29" ht="13.2" x14ac:dyDescent="0.25">
      <c r="A191" s="120">
        <v>1999</v>
      </c>
      <c r="B191" s="121"/>
      <c r="C191" s="122"/>
      <c r="D191" s="122"/>
      <c r="E191" s="122"/>
      <c r="F191" s="122"/>
      <c r="G191" s="123"/>
      <c r="H191" s="76"/>
      <c r="I191" s="76"/>
      <c r="J191" s="76"/>
      <c r="K191" s="77"/>
      <c r="L191" s="78"/>
      <c r="M191" s="79"/>
      <c r="N191" s="79"/>
      <c r="O191" s="79"/>
      <c r="P191" s="79"/>
      <c r="Q191" s="77"/>
      <c r="R191" s="76"/>
      <c r="S191" s="76"/>
      <c r="T191" s="76"/>
      <c r="U191" s="76"/>
      <c r="V191" s="76"/>
      <c r="W191" s="76"/>
      <c r="X191" s="76"/>
      <c r="Y191" s="76"/>
      <c r="Z191" s="76"/>
      <c r="AA191" s="80"/>
      <c r="AB191" s="80"/>
      <c r="AC191" s="80"/>
    </row>
    <row r="192" spans="1:29" ht="13.2" x14ac:dyDescent="0.25">
      <c r="A192" s="124" t="s">
        <v>208</v>
      </c>
      <c r="B192" s="84">
        <v>60</v>
      </c>
      <c r="C192" s="85">
        <f>15917.9/1000</f>
        <v>15.917899999999999</v>
      </c>
      <c r="D192" s="95">
        <f ca="1">IFERROR(__xludf.DUMMYFUNCTION("$C186*IMPORTRANGE(""https://docs.google.com/spreadsheets/d/1xsp01RMmkav9iTy39Zaj_7tE9677EGlOJ14KU9TZn7I/"",""1985-2003!H3841"")"),13.742718965)</f>
        <v>13.742718965</v>
      </c>
      <c r="E192" s="95">
        <f ca="1">IFERROR(__xludf.DUMMYFUNCTION("$C186*IMPORTRANGE(""https://docs.google.com/spreadsheets/d/1xsp01RMmkav9iTy39Zaj_7tE9677EGlOJ14KU9TZn7I/"",""1985-2003!T3841"")"),9.63828845)</f>
        <v>9.6382884499999992</v>
      </c>
      <c r="F192" s="95">
        <f ca="1">IFERROR(__xludf.DUMMYFUNCTION("$C186*IMPORTRANGE(""https://docs.google.com/spreadsheets/d/1xsp01RMmkav9iTy39Zaj_7tE9677EGlOJ14KU9TZn7I/"",""1985-2003!AC3841"")"),1807.23877649999)</f>
        <v>1807.2387764999901</v>
      </c>
      <c r="G192" s="124" t="s">
        <v>8</v>
      </c>
      <c r="H192" s="76"/>
      <c r="I192" s="76"/>
      <c r="J192" s="76"/>
      <c r="K192" s="77"/>
      <c r="L192" s="78"/>
      <c r="M192" s="79"/>
      <c r="N192" s="79"/>
      <c r="O192" s="79"/>
      <c r="P192" s="79"/>
      <c r="Q192" s="77"/>
      <c r="R192" s="76"/>
      <c r="S192" s="76"/>
      <c r="T192" s="76"/>
      <c r="U192" s="76"/>
      <c r="V192" s="76"/>
      <c r="W192" s="76"/>
      <c r="X192" s="76"/>
      <c r="Y192" s="76"/>
      <c r="Z192" s="76"/>
      <c r="AA192" s="80"/>
      <c r="AB192" s="80"/>
      <c r="AC192" s="80"/>
    </row>
    <row r="193" spans="1:29" ht="13.2" x14ac:dyDescent="0.25">
      <c r="A193" s="128" t="s">
        <v>209</v>
      </c>
      <c r="B193" s="97">
        <v>54</v>
      </c>
      <c r="C193" s="98">
        <f>16934.7/1000</f>
        <v>16.934699999999999</v>
      </c>
      <c r="D193" s="99">
        <f ca="1">IFERROR(__xludf.DUMMYFUNCTION("$C187*IMPORTRANGE(""https://docs.google.com/spreadsheets/d/1xsp01RMmkav9iTy39Zaj_7tE9677EGlOJ14KU9TZn7I/"",""1985-2003!H3862"")"),15.072729735)</f>
        <v>15.072729734999999</v>
      </c>
      <c r="E193" s="99">
        <f ca="1">IFERROR(__xludf.DUMMYFUNCTION("$C187*IMPORTRANGE(""https://docs.google.com/spreadsheets/d/1xsp01RMmkav9iTy39Zaj_7tE9677EGlOJ14KU9TZn7I/"",""1985-2003!T3862"")"),10.37419722)</f>
        <v>10.374197219999999</v>
      </c>
      <c r="F193" s="99">
        <f ca="1">IFERROR(__xludf.DUMMYFUNCTION("$C187*IMPORTRANGE(""https://docs.google.com/spreadsheets/d/1xsp01RMmkav9iTy39Zaj_7tE9677EGlOJ14KU9TZn7I/"",""1985-2003!AC3862"")"),1951.97819549999)</f>
        <v>1951.9781954999901</v>
      </c>
      <c r="G193" s="128" t="s">
        <v>8</v>
      </c>
      <c r="H193" s="76"/>
      <c r="I193" s="76"/>
      <c r="J193" s="76"/>
      <c r="K193" s="77"/>
      <c r="L193" s="78"/>
      <c r="M193" s="79"/>
      <c r="N193" s="79"/>
      <c r="O193" s="79"/>
      <c r="P193" s="79"/>
      <c r="Q193" s="77"/>
      <c r="R193" s="76"/>
      <c r="S193" s="76"/>
      <c r="T193" s="76"/>
      <c r="U193" s="76"/>
      <c r="V193" s="76"/>
      <c r="W193" s="76"/>
      <c r="X193" s="76"/>
      <c r="Y193" s="76"/>
      <c r="Z193" s="76"/>
      <c r="AA193" s="80"/>
      <c r="AB193" s="80"/>
      <c r="AC193" s="80"/>
    </row>
    <row r="194" spans="1:29" ht="13.2" x14ac:dyDescent="0.25">
      <c r="A194" s="126" t="s">
        <v>210</v>
      </c>
      <c r="B194" s="87">
        <v>64</v>
      </c>
      <c r="C194" s="88">
        <f>5685.2/1000</f>
        <v>5.6852</v>
      </c>
      <c r="D194" s="96">
        <f ca="1">IFERROR(__xludf.DUMMYFUNCTION("$C188*IMPORTRANGE(""https://docs.google.com/spreadsheets/d/1xsp01RMmkav9iTy39Zaj_7tE9677EGlOJ14KU9TZn7I/"",""1985-2003!H3886"")"),5.22071916)</f>
        <v>5.2207191599999998</v>
      </c>
      <c r="E194" s="96">
        <f ca="1">IFERROR(__xludf.DUMMYFUNCTION("$C188*IMPORTRANGE(""https://docs.google.com/spreadsheets/d/1xsp01RMmkav9iTy39Zaj_7tE9677EGlOJ14KU9TZn7I/"",""1985-2003!T3886"")"),3.5049258)</f>
        <v>3.5049258000000001</v>
      </c>
      <c r="F194" s="96">
        <f ca="1">IFERROR(__xludf.DUMMYFUNCTION("$C188*IMPORTRANGE(""https://docs.google.com/spreadsheets/d/1xsp01RMmkav9iTy39Zaj_7tE9677EGlOJ14KU9TZn7I/"",""1985-2003!AC3886"")"),677.39158)</f>
        <v>677.39157999999998</v>
      </c>
      <c r="G194" s="126" t="s">
        <v>8</v>
      </c>
      <c r="H194" s="76"/>
      <c r="I194" s="76"/>
      <c r="J194" s="76"/>
      <c r="K194" s="77"/>
      <c r="L194" s="78"/>
      <c r="M194" s="79"/>
      <c r="N194" s="79"/>
      <c r="O194" s="79"/>
      <c r="P194" s="79"/>
      <c r="Q194" s="77"/>
      <c r="R194" s="76"/>
      <c r="S194" s="76"/>
      <c r="T194" s="76"/>
      <c r="U194" s="76"/>
      <c r="V194" s="76"/>
      <c r="W194" s="76"/>
      <c r="X194" s="76"/>
      <c r="Y194" s="76"/>
      <c r="Z194" s="76"/>
      <c r="AA194" s="80"/>
      <c r="AB194" s="80"/>
      <c r="AC194" s="80"/>
    </row>
    <row r="195" spans="1:29" ht="13.2" x14ac:dyDescent="0.25">
      <c r="A195" s="128" t="s">
        <v>211</v>
      </c>
      <c r="B195" s="97">
        <v>52</v>
      </c>
      <c r="C195" s="98">
        <f>41836.7/1000</f>
        <v>41.8367</v>
      </c>
      <c r="D195" s="99">
        <f ca="1">IFERROR(__xludf.DUMMYFUNCTION("$C189*IMPORTRANGE(""https://docs.google.com/spreadsheets/d/1xsp01RMmkav9iTy39Zaj_7tE9677EGlOJ14KU9TZn7I/"",""1985-2003!H3909"")"),39.0754777999999)</f>
        <v>39.075477799999902</v>
      </c>
      <c r="E195" s="99">
        <f ca="1">IFERROR(__xludf.DUMMYFUNCTION("$C189*IMPORTRANGE(""https://docs.google.com/spreadsheets/d/1xsp01RMmkav9iTy39Zaj_7tE9677EGlOJ14KU9TZn7I/"",""1985-2003!T3909"")"),25.9575805149999)</f>
        <v>25.957580514999901</v>
      </c>
      <c r="F195" s="99">
        <f ca="1">IFERROR(__xludf.DUMMYFUNCTION("$C189*IMPORTRANGE(""https://docs.google.com/spreadsheets/d/1xsp01RMmkav9iTy39Zaj_7tE9677EGlOJ14KU9TZn7I/"",""1985-2003!AC3909"")"),5004.2968705)</f>
        <v>5004.2968705000003</v>
      </c>
      <c r="G195" s="128" t="s">
        <v>8</v>
      </c>
      <c r="H195" s="76"/>
      <c r="I195" s="76"/>
      <c r="J195" s="76"/>
      <c r="K195" s="77"/>
      <c r="L195" s="78"/>
      <c r="M195" s="79"/>
      <c r="N195" s="79"/>
      <c r="O195" s="79"/>
      <c r="P195" s="79"/>
      <c r="Q195" s="77"/>
      <c r="R195" s="76"/>
      <c r="S195" s="76"/>
      <c r="T195" s="76"/>
      <c r="U195" s="76"/>
      <c r="V195" s="76"/>
      <c r="W195" s="76"/>
      <c r="X195" s="76"/>
      <c r="Y195" s="76"/>
      <c r="Z195" s="76"/>
      <c r="AA195" s="80"/>
      <c r="AB195" s="80"/>
      <c r="AC195" s="80"/>
    </row>
    <row r="196" spans="1:29" ht="13.2" x14ac:dyDescent="0.25">
      <c r="A196" s="126" t="s">
        <v>212</v>
      </c>
      <c r="B196" s="87">
        <v>65</v>
      </c>
      <c r="C196" s="88">
        <f>10709.4/1000</f>
        <v>10.7094</v>
      </c>
      <c r="D196" s="96">
        <f ca="1">IFERROR(__xludf.DUMMYFUNCTION("$C190*IMPORTRANGE(""https://docs.google.com/spreadsheets/d/1xsp01RMmkav9iTy39Zaj_7tE9677EGlOJ14KU9TZn7I/"",""1985-2003!H3931"")"),10.05505566)</f>
        <v>10.055055660000001</v>
      </c>
      <c r="E196" s="96">
        <f ca="1">IFERROR(__xludf.DUMMYFUNCTION("$C190*IMPORTRANGE(""https://docs.google.com/spreadsheets/d/1xsp01RMmkav9iTy39Zaj_7tE9677EGlOJ14KU9TZn7I/"",""1985-2003!T3931"")"),6.61626732)</f>
        <v>6.6162673200000004</v>
      </c>
      <c r="F196" s="96">
        <f ca="1">IFERROR(__xludf.DUMMYFUNCTION("$C190*IMPORTRANGE(""https://docs.google.com/spreadsheets/d/1xsp01RMmkav9iTy39Zaj_7tE9677EGlOJ14KU9TZn7I/"",""1985-2003!AC3931"")"),1301.406288)</f>
        <v>1301.4062879999999</v>
      </c>
      <c r="G196" s="126" t="s">
        <v>8</v>
      </c>
      <c r="H196" s="76"/>
      <c r="I196" s="76"/>
      <c r="J196" s="76"/>
      <c r="K196" s="77"/>
      <c r="L196" s="78"/>
      <c r="M196" s="79"/>
      <c r="N196" s="79"/>
      <c r="O196" s="79"/>
      <c r="P196" s="79"/>
      <c r="Q196" s="77"/>
      <c r="R196" s="76"/>
      <c r="S196" s="76"/>
      <c r="T196" s="76"/>
      <c r="U196" s="76"/>
      <c r="V196" s="76"/>
      <c r="W196" s="76"/>
      <c r="X196" s="76"/>
      <c r="Y196" s="76"/>
      <c r="Z196" s="76"/>
      <c r="AA196" s="80"/>
      <c r="AB196" s="80"/>
      <c r="AC196" s="80"/>
    </row>
    <row r="197" spans="1:29" ht="13.2" x14ac:dyDescent="0.25">
      <c r="A197" s="128" t="s">
        <v>213</v>
      </c>
      <c r="B197" s="97">
        <v>78</v>
      </c>
      <c r="C197" s="98">
        <f>8297.9/1000</f>
        <v>8.2979000000000003</v>
      </c>
      <c r="D197" s="99">
        <f ca="1">IFERROR(__xludf.DUMMYFUNCTION("$C191*IMPORTRANGE(""https://docs.google.com/spreadsheets/d/1xsp01RMmkav9iTy39Zaj_7tE9677EGlOJ14KU9TZn7I/"",""1985-2003!H3954"")"),8.00332455)</f>
        <v>8.0033245500000003</v>
      </c>
      <c r="E197" s="99">
        <f ca="1">IFERROR(__xludf.DUMMYFUNCTION("$C191*IMPORTRANGE(""https://docs.google.com/spreadsheets/d/1xsp01RMmkav9iTy39Zaj_7tE9677EGlOJ14KU9TZn7I/"",""1985-2003!T3954"")"),5.20444288)</f>
        <v>5.2044428800000002</v>
      </c>
      <c r="F197" s="99">
        <f ca="1">IFERROR(__xludf.DUMMYFUNCTION("$C191*IMPORTRANGE(""https://docs.google.com/spreadsheets/d/1xsp01RMmkav9iTy39Zaj_7tE9677EGlOJ14KU9TZn7I/"",""1985-2003!AC3954"")"),1003.1746205)</f>
        <v>1003.1746204999999</v>
      </c>
      <c r="G197" s="128" t="s">
        <v>8</v>
      </c>
      <c r="H197" s="76"/>
      <c r="I197" s="76"/>
      <c r="J197" s="76"/>
      <c r="K197" s="77"/>
      <c r="L197" s="78"/>
      <c r="M197" s="79"/>
      <c r="N197" s="79"/>
      <c r="O197" s="79"/>
      <c r="P197" s="79"/>
      <c r="Q197" s="77"/>
      <c r="R197" s="76"/>
      <c r="S197" s="76"/>
      <c r="T197" s="76"/>
      <c r="U197" s="76"/>
      <c r="V197" s="76"/>
      <c r="W197" s="76"/>
      <c r="X197" s="76"/>
      <c r="Y197" s="76"/>
      <c r="Z197" s="76"/>
      <c r="AA197" s="80"/>
      <c r="AB197" s="80"/>
      <c r="AC197" s="80"/>
    </row>
    <row r="198" spans="1:29" ht="13.2" x14ac:dyDescent="0.25">
      <c r="A198" s="126" t="s">
        <v>214</v>
      </c>
      <c r="B198" s="87">
        <v>44</v>
      </c>
      <c r="C198" s="88">
        <f>8180.9/1000</f>
        <v>8.1808999999999994</v>
      </c>
      <c r="D198" s="96">
        <f ca="1">IFERROR(__xludf.DUMMYFUNCTION("$C192*IMPORTRANGE(""https://docs.google.com/spreadsheets/d/1xsp01RMmkav9iTy39Zaj_7tE9677EGlOJ14KU9TZn7I/"",""1985-2003!H3977"")"),7.986603625)</f>
        <v>7.9866036249999999</v>
      </c>
      <c r="E198" s="96">
        <f ca="1">IFERROR(__xludf.DUMMYFUNCTION("$C192*IMPORTRANGE(""https://docs.google.com/spreadsheets/d/1xsp01RMmkav9iTy39Zaj_7tE9677EGlOJ14KU9TZn7I/"",""1985-2003!T3977"")"),5.20059812999999)</f>
        <v>5.2005981299999897</v>
      </c>
      <c r="F198" s="96">
        <f ca="1">IFERROR(__xludf.DUMMYFUNCTION("$C192*IMPORTRANGE(""https://docs.google.com/spreadsheets/d/1xsp01RMmkav9iTy39Zaj_7tE9677EGlOJ14KU9TZn7I/"",""1985-2003!AC3977"")"),987.966388499999)</f>
        <v>987.96638849999897</v>
      </c>
      <c r="G198" s="126" t="s">
        <v>8</v>
      </c>
      <c r="H198" s="76"/>
      <c r="I198" s="76"/>
      <c r="J198" s="76"/>
      <c r="K198" s="77"/>
      <c r="L198" s="78"/>
      <c r="M198" s="79"/>
      <c r="N198" s="79"/>
      <c r="O198" s="79"/>
      <c r="P198" s="79"/>
      <c r="Q198" s="77"/>
      <c r="R198" s="76"/>
      <c r="S198" s="76"/>
      <c r="T198" s="76"/>
      <c r="U198" s="76"/>
      <c r="V198" s="76"/>
      <c r="W198" s="76"/>
      <c r="X198" s="76"/>
      <c r="Y198" s="76"/>
      <c r="Z198" s="76"/>
      <c r="AA198" s="80"/>
      <c r="AB198" s="80"/>
      <c r="AC198" s="80"/>
    </row>
    <row r="199" spans="1:29" ht="13.2" x14ac:dyDescent="0.25">
      <c r="A199" s="128" t="s">
        <v>215</v>
      </c>
      <c r="B199" s="97">
        <v>74</v>
      </c>
      <c r="C199" s="98">
        <f>19767.9/1000</f>
        <v>19.767900000000001</v>
      </c>
      <c r="D199" s="99">
        <f ca="1">IFERROR(__xludf.DUMMYFUNCTION("$C193*IMPORTRANGE(""https://docs.google.com/spreadsheets/d/1xsp01RMmkav9iTy39Zaj_7tE9677EGlOJ14KU9TZn7I/"",""1985-2003!H4000"")"),18.626303775)</f>
        <v>18.626303775</v>
      </c>
      <c r="E199" s="99">
        <f ca="1">IFERROR(__xludf.DUMMYFUNCTION("$C193*IMPORTRANGE(""https://docs.google.com/spreadsheets/d/1xsp01RMmkav9iTy39Zaj_7tE9677EGlOJ14KU9TZn7I/"",""1985-2003!T4000"")"),12.30947133)</f>
        <v>12.309471329999999</v>
      </c>
      <c r="F199" s="99">
        <f ca="1">IFERROR(__xludf.DUMMYFUNCTION("$C193*IMPORTRANGE(""https://docs.google.com/spreadsheets/d/1xsp01RMmkav9iTy39Zaj_7tE9677EGlOJ14KU9TZn7I/"",""1985-2003!AC4000"")"),2255.51739)</f>
        <v>2255.51739</v>
      </c>
      <c r="G199" s="128" t="s">
        <v>8</v>
      </c>
      <c r="H199" s="76"/>
      <c r="I199" s="76"/>
      <c r="J199" s="76"/>
      <c r="K199" s="77"/>
      <c r="L199" s="78"/>
      <c r="M199" s="79"/>
      <c r="N199" s="79"/>
      <c r="O199" s="79"/>
      <c r="P199" s="79"/>
      <c r="Q199" s="77"/>
      <c r="R199" s="76"/>
      <c r="S199" s="76"/>
      <c r="T199" s="76"/>
      <c r="U199" s="76"/>
      <c r="V199" s="76"/>
      <c r="W199" s="76"/>
      <c r="X199" s="76"/>
      <c r="Y199" s="76"/>
      <c r="Z199" s="76"/>
      <c r="AA199" s="80"/>
      <c r="AB199" s="80"/>
      <c r="AC199" s="80"/>
    </row>
    <row r="200" spans="1:29" ht="13.2" x14ac:dyDescent="0.25">
      <c r="A200" s="126" t="s">
        <v>216</v>
      </c>
      <c r="B200" s="87">
        <v>54</v>
      </c>
      <c r="C200" s="88">
        <f>32605.6/1000</f>
        <v>32.605599999999995</v>
      </c>
      <c r="D200" s="96">
        <f ca="1">IFERROR(__xludf.DUMMYFUNCTION("$C194*IMPORTRANGE(""https://docs.google.com/spreadsheets/d/1xsp01RMmkav9iTy39Zaj_7tE9677EGlOJ14KU9TZn7I/"",""1985-2003!H4023"")"),31.0568339999999)</f>
        <v>31.056833999999899</v>
      </c>
      <c r="E200" s="96">
        <f ca="1">IFERROR(__xludf.DUMMYFUNCTION("$C194*IMPORTRANGE(""https://docs.google.com/spreadsheets/d/1xsp01RMmkav9iTy39Zaj_7tE9677EGlOJ14KU9TZn7I/"",""1985-2003!T4023"")"),20.09809184)</f>
        <v>20.098091839999999</v>
      </c>
      <c r="F200" s="96">
        <f ca="1">IFERROR(__xludf.DUMMYFUNCTION("$C194*IMPORTRANGE(""https://docs.google.com/spreadsheets/d/1xsp01RMmkav9iTy39Zaj_7tE9677EGlOJ14KU9TZn7I/"",""1985-2003!AC4023"")"),3474.94181999999)</f>
        <v>3474.94181999999</v>
      </c>
      <c r="G200" s="126" t="s">
        <v>8</v>
      </c>
      <c r="H200" s="76"/>
      <c r="I200" s="76"/>
      <c r="J200" s="76"/>
      <c r="K200" s="77"/>
      <c r="L200" s="78"/>
      <c r="M200" s="79"/>
      <c r="N200" s="79"/>
      <c r="O200" s="79"/>
      <c r="P200" s="79"/>
      <c r="Q200" s="77"/>
      <c r="R200" s="76"/>
      <c r="S200" s="76"/>
      <c r="T200" s="76"/>
      <c r="U200" s="76"/>
      <c r="V200" s="76"/>
      <c r="W200" s="76"/>
      <c r="X200" s="76"/>
      <c r="Y200" s="76"/>
      <c r="Z200" s="76"/>
      <c r="AA200" s="80"/>
      <c r="AB200" s="80"/>
      <c r="AC200" s="80"/>
    </row>
    <row r="201" spans="1:29" ht="13.2" x14ac:dyDescent="0.25">
      <c r="A201" s="128" t="s">
        <v>217</v>
      </c>
      <c r="B201" s="97">
        <v>60</v>
      </c>
      <c r="C201" s="98">
        <f>51802.2/1000</f>
        <v>51.802199999999999</v>
      </c>
      <c r="D201" s="99">
        <f ca="1">IFERROR(__xludf.DUMMYFUNCTION("$C195*IMPORTRANGE(""https://docs.google.com/spreadsheets/d/1xsp01RMmkav9iTy39Zaj_7tE9677EGlOJ14KU9TZn7I/"",""1985-2003!H4045"")"),48.31591194)</f>
        <v>48.315911939999999</v>
      </c>
      <c r="E201" s="99">
        <f ca="1">IFERROR(__xludf.DUMMYFUNCTION("$C195*IMPORTRANGE(""https://docs.google.com/spreadsheets/d/1xsp01RMmkav9iTy39Zaj_7tE9677EGlOJ14KU9TZn7I/"",""1985-2003!T4045"")"),31.30924968)</f>
        <v>31.309249680000001</v>
      </c>
      <c r="F201" s="99">
        <f ca="1">IFERROR(__xludf.DUMMYFUNCTION("$C195*IMPORTRANGE(""https://docs.google.com/spreadsheets/d/1xsp01RMmkav9iTy39Zaj_7tE9677EGlOJ14KU9TZn7I/"",""1985-2003!AC4045"")"),5489.479134)</f>
        <v>5489.4791340000002</v>
      </c>
      <c r="G201" s="128" t="s">
        <v>8</v>
      </c>
      <c r="H201" s="76"/>
      <c r="I201" s="76"/>
      <c r="J201" s="76"/>
      <c r="K201" s="77"/>
      <c r="L201" s="78"/>
      <c r="M201" s="79"/>
      <c r="N201" s="79"/>
      <c r="O201" s="79"/>
      <c r="P201" s="79"/>
      <c r="Q201" s="77"/>
      <c r="R201" s="76"/>
      <c r="S201" s="76"/>
      <c r="T201" s="76"/>
      <c r="U201" s="76"/>
      <c r="V201" s="76"/>
      <c r="W201" s="76"/>
      <c r="X201" s="76"/>
      <c r="Y201" s="76"/>
      <c r="Z201" s="76"/>
      <c r="AA201" s="80"/>
      <c r="AB201" s="80"/>
      <c r="AC201" s="80"/>
    </row>
    <row r="202" spans="1:29" ht="13.2" x14ac:dyDescent="0.25">
      <c r="A202" s="126" t="s">
        <v>218</v>
      </c>
      <c r="B202" s="87">
        <v>62</v>
      </c>
      <c r="C202" s="88">
        <f>10339.3/1000</f>
        <v>10.3393</v>
      </c>
      <c r="D202" s="96">
        <f ca="1">IFERROR(__xludf.DUMMYFUNCTION("$C196*IMPORTRANGE(""https://docs.google.com/spreadsheets/d/1xsp01RMmkav9iTy39Zaj_7tE9677EGlOJ14KU9TZn7I/"",""1985-2003!H4068"")"),10.013095085)</f>
        <v>10.013095085</v>
      </c>
      <c r="E202" s="96">
        <f ca="1">IFERROR(__xludf.DUMMYFUNCTION("$C196*IMPORTRANGE(""https://docs.google.com/spreadsheets/d/1xsp01RMmkav9iTy39Zaj_7tE9677EGlOJ14KU9TZn7I/"",""1985-2003!T4068"")"),6.379865065)</f>
        <v>6.3798650649999997</v>
      </c>
      <c r="F202" s="96">
        <f ca="1">IFERROR(__xludf.DUMMYFUNCTION("$C196*IMPORTRANGE(""https://docs.google.com/spreadsheets/d/1xsp01RMmkav9iTy39Zaj_7tE9677EGlOJ14KU9TZn7I/"",""1985-2003!AC4068"")"),1083.868819)</f>
        <v>1083.868819</v>
      </c>
      <c r="G202" s="126" t="s">
        <v>8</v>
      </c>
      <c r="H202" s="76"/>
      <c r="I202" s="76"/>
      <c r="J202" s="76"/>
      <c r="K202" s="77"/>
      <c r="L202" s="78"/>
      <c r="M202" s="79"/>
      <c r="N202" s="79"/>
      <c r="O202" s="79"/>
      <c r="P202" s="79"/>
      <c r="Q202" s="77"/>
      <c r="R202" s="76"/>
      <c r="S202" s="76"/>
      <c r="T202" s="76"/>
      <c r="U202" s="76"/>
      <c r="V202" s="76"/>
      <c r="W202" s="76"/>
      <c r="X202" s="76"/>
      <c r="Y202" s="76"/>
      <c r="Z202" s="76"/>
      <c r="AA202" s="80"/>
      <c r="AB202" s="80"/>
      <c r="AC202" s="80"/>
    </row>
    <row r="203" spans="1:29" ht="13.2" x14ac:dyDescent="0.25">
      <c r="A203" s="129" t="s">
        <v>219</v>
      </c>
      <c r="B203" s="100">
        <v>102</v>
      </c>
      <c r="C203" s="101">
        <f>7933.7/1000</f>
        <v>7.9337</v>
      </c>
      <c r="D203" s="102">
        <f ca="1">IFERROR(__xludf.DUMMYFUNCTION("$C197*IMPORTRANGE(""https://docs.google.com/spreadsheets/d/1xsp01RMmkav9iTy39Zaj_7tE9677EGlOJ14KU9TZn7I/"",""1985-2003!H4092"")"),7.85674311)</f>
        <v>7.85674311</v>
      </c>
      <c r="E203" s="102">
        <f ca="1">IFERROR(__xludf.DUMMYFUNCTION("$C197*IMPORTRANGE(""https://docs.google.com/spreadsheets/d/1xsp01RMmkav9iTy39Zaj_7tE9677EGlOJ14KU9TZn7I/"",""1985-2003!T4092"")"),4.917703945)</f>
        <v>4.9177039450000004</v>
      </c>
      <c r="F203" s="102">
        <f ca="1">IFERROR(__xludf.DUMMYFUNCTION("$C197*IMPORTRANGE(""https://docs.google.com/spreadsheets/d/1xsp01RMmkav9iTy39Zaj_7tE9677EGlOJ14KU9TZn7I/"",""1985-2003!AC4092"")"),812.966239)</f>
        <v>812.96623899999997</v>
      </c>
      <c r="G203" s="129" t="s">
        <v>8</v>
      </c>
      <c r="H203" s="76"/>
      <c r="I203" s="76"/>
      <c r="J203" s="76"/>
      <c r="K203" s="77"/>
      <c r="L203" s="78"/>
      <c r="M203" s="79"/>
      <c r="N203" s="79"/>
      <c r="O203" s="79"/>
      <c r="P203" s="79"/>
      <c r="Q203" s="77"/>
      <c r="R203" s="76"/>
      <c r="S203" s="76"/>
      <c r="T203" s="76"/>
      <c r="U203" s="76"/>
      <c r="V203" s="76"/>
      <c r="W203" s="76"/>
      <c r="X203" s="76"/>
      <c r="Y203" s="76"/>
      <c r="Z203" s="76"/>
      <c r="AA203" s="80"/>
      <c r="AB203" s="80"/>
      <c r="AC203" s="80"/>
    </row>
    <row r="204" spans="1:29" ht="13.2" x14ac:dyDescent="0.25">
      <c r="A204" s="120">
        <v>2000</v>
      </c>
      <c r="B204" s="121"/>
      <c r="C204" s="122"/>
      <c r="D204" s="122"/>
      <c r="E204" s="122"/>
      <c r="F204" s="122"/>
      <c r="G204" s="123"/>
      <c r="H204" s="76"/>
      <c r="I204" s="76"/>
      <c r="J204" s="76"/>
      <c r="K204" s="77"/>
      <c r="L204" s="78"/>
      <c r="M204" s="79"/>
      <c r="N204" s="79"/>
      <c r="O204" s="79"/>
      <c r="P204" s="79"/>
      <c r="Q204" s="77"/>
      <c r="R204" s="76"/>
      <c r="S204" s="76"/>
      <c r="T204" s="76"/>
      <c r="U204" s="76"/>
      <c r="V204" s="76"/>
      <c r="W204" s="76"/>
      <c r="X204" s="76"/>
      <c r="Y204" s="76"/>
      <c r="Z204" s="76"/>
      <c r="AA204" s="80"/>
      <c r="AB204" s="80"/>
      <c r="AC204" s="80"/>
    </row>
    <row r="205" spans="1:29" ht="13.2" x14ac:dyDescent="0.25">
      <c r="A205" s="124" t="s">
        <v>220</v>
      </c>
      <c r="B205" s="84">
        <v>63</v>
      </c>
      <c r="C205" s="85">
        <f>23774.5/1000</f>
        <v>23.7745</v>
      </c>
      <c r="D205" s="95">
        <f ca="1">IFERROR(__xludf.DUMMYFUNCTION("$C199*IMPORTRANGE(""https://docs.google.com/spreadsheets/d/1xsp01RMmkav9iTy39Zaj_7tE9677EGlOJ14KU9TZn7I/"",""1985-2003!H4115"")"),23.4701864)</f>
        <v>23.470186399999999</v>
      </c>
      <c r="E205" s="95">
        <f ca="1">IFERROR(__xludf.DUMMYFUNCTION("$C199*IMPORTRANGE(""https://docs.google.com/spreadsheets/d/1xsp01RMmkav9iTy39Zaj_7tE9677EGlOJ14KU9TZn7I/"",""1985-2003!T4115"")"),14.498878825)</f>
        <v>14.498878825</v>
      </c>
      <c r="F205" s="95">
        <f ca="1">IFERROR(__xludf.DUMMYFUNCTION("$C199*IMPORTRANGE(""https://docs.google.com/spreadsheets/d/1xsp01RMmkav9iTy39Zaj_7tE9677EGlOJ14KU9TZn7I/"",""1985-2003!AC4115"")"),2504.88132)</f>
        <v>2504.88132</v>
      </c>
      <c r="G205" s="124" t="s">
        <v>8</v>
      </c>
      <c r="H205" s="76"/>
      <c r="I205" s="76"/>
      <c r="J205" s="76"/>
      <c r="K205" s="77"/>
      <c r="L205" s="78"/>
      <c r="M205" s="79"/>
      <c r="N205" s="79"/>
      <c r="O205" s="79"/>
      <c r="P205" s="79"/>
      <c r="Q205" s="77"/>
      <c r="R205" s="76"/>
      <c r="S205" s="76"/>
      <c r="T205" s="76"/>
      <c r="U205" s="76"/>
      <c r="V205" s="76"/>
      <c r="W205" s="76"/>
      <c r="X205" s="76"/>
      <c r="Y205" s="76"/>
      <c r="Z205" s="76"/>
      <c r="AA205" s="80"/>
      <c r="AB205" s="80"/>
      <c r="AC205" s="80"/>
    </row>
    <row r="206" spans="1:29" ht="13.2" x14ac:dyDescent="0.25">
      <c r="A206" s="128" t="s">
        <v>221</v>
      </c>
      <c r="B206" s="97">
        <v>67</v>
      </c>
      <c r="C206" s="98">
        <f>9327.8/1000</f>
        <v>9.3277999999999999</v>
      </c>
      <c r="D206" s="99">
        <f ca="1">IFERROR(__xludf.DUMMYFUNCTION("$C200*IMPORTRANGE(""https://docs.google.com/spreadsheets/d/1xsp01RMmkav9iTy39Zaj_7tE9677EGlOJ14KU9TZn7I/"",""1985-2003!H4137"")"),9.4630531)</f>
        <v>9.4630530999999998</v>
      </c>
      <c r="E206" s="99">
        <f ca="1">IFERROR(__xludf.DUMMYFUNCTION("$C200*IMPORTRANGE(""https://docs.google.com/spreadsheets/d/1xsp01RMmkav9iTy39Zaj_7tE9677EGlOJ14KU9TZn7I/"",""1985-2003!T4137"")"),5.82894222)</f>
        <v>5.8289422200000001</v>
      </c>
      <c r="F206" s="99">
        <f ca="1">IFERROR(__xludf.DUMMYFUNCTION("$C200*IMPORTRANGE(""https://docs.google.com/spreadsheets/d/1xsp01RMmkav9iTy39Zaj_7tE9677EGlOJ14KU9TZn7I/"",""1985-2003!AC4137"")"),1020.46132)</f>
        <v>1020.46132</v>
      </c>
      <c r="G206" s="128" t="s">
        <v>8</v>
      </c>
      <c r="H206" s="76"/>
      <c r="I206" s="76"/>
      <c r="J206" s="76"/>
      <c r="K206" s="77"/>
      <c r="L206" s="78"/>
      <c r="M206" s="79"/>
      <c r="N206" s="79"/>
      <c r="O206" s="79"/>
      <c r="P206" s="79"/>
      <c r="Q206" s="77"/>
      <c r="R206" s="76"/>
      <c r="S206" s="76"/>
      <c r="T206" s="76"/>
      <c r="U206" s="76"/>
      <c r="V206" s="76"/>
      <c r="W206" s="76"/>
      <c r="X206" s="76"/>
      <c r="Y206" s="76"/>
      <c r="Z206" s="76"/>
      <c r="AA206" s="80"/>
      <c r="AB206" s="80"/>
      <c r="AC206" s="80"/>
    </row>
    <row r="207" spans="1:29" ht="13.2" x14ac:dyDescent="0.25">
      <c r="A207" s="126" t="s">
        <v>222</v>
      </c>
      <c r="B207" s="87">
        <v>75</v>
      </c>
      <c r="C207" s="88">
        <f>24867.9/1000</f>
        <v>24.867900000000002</v>
      </c>
      <c r="D207" s="96">
        <f ca="1">IFERROR(__xludf.DUMMYFUNCTION("$C201*IMPORTRANGE(""https://docs.google.com/spreadsheets/d/1xsp01RMmkav9iTy39Zaj_7tE9677EGlOJ14KU9TZn7I/"",""1985-2003!H4161"")"),25.78303872)</f>
        <v>25.78303872</v>
      </c>
      <c r="E207" s="96">
        <f ca="1">IFERROR(__xludf.DUMMYFUNCTION("$C201*IMPORTRANGE(""https://docs.google.com/spreadsheets/d/1xsp01RMmkav9iTy39Zaj_7tE9677EGlOJ14KU9TZn7I/"",""1985-2003!T4161"")"),15.7413807)</f>
        <v>15.741380700000001</v>
      </c>
      <c r="F207" s="96">
        <f ca="1">IFERROR(__xludf.DUMMYFUNCTION("$C201*IMPORTRANGE(""https://docs.google.com/spreadsheets/d/1xsp01RMmkav9iTy39Zaj_7tE9677EGlOJ14KU9TZn7I/"",""1985-2003!AC4161"")"),2652.161535)</f>
        <v>2652.1615350000002</v>
      </c>
      <c r="G207" s="126" t="s">
        <v>8</v>
      </c>
      <c r="H207" s="76"/>
      <c r="I207" s="76"/>
      <c r="J207" s="76"/>
      <c r="K207" s="77"/>
      <c r="L207" s="78"/>
      <c r="M207" s="79"/>
      <c r="N207" s="79"/>
      <c r="O207" s="79"/>
      <c r="P207" s="79"/>
      <c r="Q207" s="77"/>
      <c r="R207" s="76"/>
      <c r="S207" s="76"/>
      <c r="T207" s="76"/>
      <c r="U207" s="76"/>
      <c r="V207" s="76"/>
      <c r="W207" s="76"/>
      <c r="X207" s="76"/>
      <c r="Y207" s="76"/>
      <c r="Z207" s="76"/>
      <c r="AA207" s="80"/>
      <c r="AB207" s="80"/>
      <c r="AC207" s="80"/>
    </row>
    <row r="208" spans="1:29" ht="13.2" x14ac:dyDescent="0.25">
      <c r="A208" s="128" t="s">
        <v>223</v>
      </c>
      <c r="B208" s="97">
        <v>74</v>
      </c>
      <c r="C208" s="98">
        <f>23079.9/1000</f>
        <v>23.079900000000002</v>
      </c>
      <c r="D208" s="99">
        <f ca="1">IFERROR(__xludf.DUMMYFUNCTION("$C202*IMPORTRANGE(""https://docs.google.com/spreadsheets/d/1xsp01RMmkav9iTy39Zaj_7tE9677EGlOJ14KU9TZn7I/"",""1985-2003!H4182"")"),24.233895)</f>
        <v>24.233895</v>
      </c>
      <c r="E208" s="99">
        <f ca="1">IFERROR(__xludf.DUMMYFUNCTION("$C202*IMPORTRANGE(""https://docs.google.com/spreadsheets/d/1xsp01RMmkav9iTy39Zaj_7tE9677EGlOJ14KU9TZn7I/"",""1985-2003!T4182"")"),14.5864968)</f>
        <v>14.586496800000001</v>
      </c>
      <c r="F208" s="99">
        <f ca="1">IFERROR(__xludf.DUMMYFUNCTION("$C202*IMPORTRANGE(""https://docs.google.com/spreadsheets/d/1xsp01RMmkav9iTy39Zaj_7tE9677EGlOJ14KU9TZn7I/"",""1985-2003!AC4182"")"),2440.3532265)</f>
        <v>2440.3532264999999</v>
      </c>
      <c r="G208" s="128" t="s">
        <v>8</v>
      </c>
      <c r="H208" s="76"/>
      <c r="I208" s="76"/>
      <c r="J208" s="76"/>
      <c r="K208" s="77"/>
      <c r="L208" s="78"/>
      <c r="M208" s="79"/>
      <c r="N208" s="79"/>
      <c r="O208" s="79"/>
      <c r="P208" s="79"/>
      <c r="Q208" s="77"/>
      <c r="R208" s="76"/>
      <c r="S208" s="76"/>
      <c r="T208" s="76"/>
      <c r="U208" s="76"/>
      <c r="V208" s="76"/>
      <c r="W208" s="76"/>
      <c r="X208" s="76"/>
      <c r="Y208" s="76"/>
      <c r="Z208" s="76"/>
      <c r="AA208" s="80"/>
      <c r="AB208" s="80"/>
      <c r="AC208" s="80"/>
    </row>
    <row r="209" spans="1:29" ht="13.2" x14ac:dyDescent="0.25">
      <c r="A209" s="126" t="s">
        <v>224</v>
      </c>
      <c r="B209" s="87">
        <v>87</v>
      </c>
      <c r="C209" s="88">
        <f>25143/1000</f>
        <v>25.143000000000001</v>
      </c>
      <c r="D209" s="96">
        <f ca="1">IFERROR(__xludf.DUMMYFUNCTION("$C203*IMPORTRANGE(""https://docs.google.com/spreadsheets/d/1xsp01RMmkav9iTy39Zaj_7tE9677EGlOJ14KU9TZn7I/"",""1985-2003!H4206"")"),27.7226718)</f>
        <v>27.722671800000001</v>
      </c>
      <c r="E209" s="96">
        <f ca="1">IFERROR(__xludf.DUMMYFUNCTION("$C203*IMPORTRANGE(""https://docs.google.com/spreadsheets/d/1xsp01RMmkav9iTy39Zaj_7tE9677EGlOJ14KU9TZn7I/"",""1985-2003!T4206"")"),16.7854668)</f>
        <v>16.785466799999998</v>
      </c>
      <c r="F209" s="96">
        <f ca="1">IFERROR(__xludf.DUMMYFUNCTION("$C203*IMPORTRANGE(""https://docs.google.com/spreadsheets/d/1xsp01RMmkav9iTy39Zaj_7tE9677EGlOJ14KU9TZn7I/"",""1985-2003!AC4206"")"),2726.00406)</f>
        <v>2726.0040600000002</v>
      </c>
      <c r="G209" s="126" t="s">
        <v>8</v>
      </c>
      <c r="H209" s="76"/>
      <c r="I209" s="76"/>
      <c r="J209" s="76"/>
      <c r="K209" s="77"/>
      <c r="L209" s="78"/>
      <c r="M209" s="79"/>
      <c r="N209" s="79"/>
      <c r="O209" s="79"/>
      <c r="P209" s="79"/>
      <c r="Q209" s="77"/>
      <c r="R209" s="76"/>
      <c r="S209" s="76"/>
      <c r="T209" s="76"/>
      <c r="U209" s="76"/>
      <c r="V209" s="76"/>
      <c r="W209" s="76"/>
      <c r="X209" s="76"/>
      <c r="Y209" s="76"/>
      <c r="Z209" s="76"/>
      <c r="AA209" s="80"/>
      <c r="AB209" s="80"/>
      <c r="AC209" s="80"/>
    </row>
    <row r="210" spans="1:29" ht="13.2" x14ac:dyDescent="0.25">
      <c r="A210" s="128" t="s">
        <v>225</v>
      </c>
      <c r="B210" s="97">
        <v>61</v>
      </c>
      <c r="C210" s="98">
        <f>9641.2/1000</f>
        <v>9.6412000000000013</v>
      </c>
      <c r="D210" s="99">
        <f ca="1">IFERROR(__xludf.DUMMYFUNCTION("$C204*IMPORTRANGE(""https://docs.google.com/spreadsheets/d/1xsp01RMmkav9iTy39Zaj_7tE9677EGlOJ14KU9TZn7I/"",""1985-2003!H4229"")"),10.11795734)</f>
        <v>10.11795734</v>
      </c>
      <c r="E210" s="99">
        <f ca="1">IFERROR(__xludf.DUMMYFUNCTION("$C204*IMPORTRANGE(""https://docs.google.com/spreadsheets/d/1xsp01RMmkav9iTy39Zaj_7tE9677EGlOJ14KU9TZn7I/"",""1985-2003!T4229"")"),6.38199234)</f>
        <v>6.38199234</v>
      </c>
      <c r="F210" s="99">
        <f ca="1">IFERROR(__xludf.DUMMYFUNCTION("$C204*IMPORTRANGE(""https://docs.google.com/spreadsheets/d/1xsp01RMmkav9iTy39Zaj_7tE9677EGlOJ14KU9TZn7I/"",""1985-2003!AC4229"")"),1021.581552)</f>
        <v>1021.581552</v>
      </c>
      <c r="G210" s="128" t="s">
        <v>8</v>
      </c>
      <c r="H210" s="76"/>
      <c r="I210" s="76"/>
      <c r="J210" s="76"/>
      <c r="K210" s="77"/>
      <c r="L210" s="78"/>
      <c r="M210" s="79"/>
      <c r="N210" s="79"/>
      <c r="O210" s="79"/>
      <c r="P210" s="79"/>
      <c r="Q210" s="77"/>
      <c r="R210" s="76"/>
      <c r="S210" s="76"/>
      <c r="T210" s="76"/>
      <c r="U210" s="76"/>
      <c r="V210" s="76"/>
      <c r="W210" s="76"/>
      <c r="X210" s="76"/>
      <c r="Y210" s="76"/>
      <c r="Z210" s="76"/>
      <c r="AA210" s="80"/>
      <c r="AB210" s="80"/>
      <c r="AC210" s="80"/>
    </row>
    <row r="211" spans="1:29" ht="13.2" x14ac:dyDescent="0.25">
      <c r="A211" s="126" t="s">
        <v>226</v>
      </c>
      <c r="B211" s="87">
        <v>70</v>
      </c>
      <c r="C211" s="88">
        <f>75397.9/1000</f>
        <v>75.397899999999993</v>
      </c>
      <c r="D211" s="96">
        <f ca="1">IFERROR(__xludf.DUMMYFUNCTION("$C205*IMPORTRANGE(""https://docs.google.com/spreadsheets/d/1xsp01RMmkav9iTy39Zaj_7tE9677EGlOJ14KU9TZn7I/"",""1985-2003!H4251"")"),80.35154203)</f>
        <v>80.351542030000005</v>
      </c>
      <c r="E211" s="96">
        <f ca="1">IFERROR(__xludf.DUMMYFUNCTION("$C205*IMPORTRANGE(""https://docs.google.com/spreadsheets/d/1xsp01RMmkav9iTy39Zaj_7tE9677EGlOJ14KU9TZn7I/"",""1985-2003!T4251"")"),49.90587001)</f>
        <v>49.905870010000001</v>
      </c>
      <c r="F211" s="96">
        <f ca="1">IFERROR(__xludf.DUMMYFUNCTION("$C205*IMPORTRANGE(""https://docs.google.com/spreadsheets/d/1xsp01RMmkav9iTy39Zaj_7tE9677EGlOJ14KU9TZn7I/"",""1985-2003!AC4251"")"),8150.51298999999)</f>
        <v>8150.5129899999902</v>
      </c>
      <c r="G211" s="126" t="s">
        <v>8</v>
      </c>
      <c r="H211" s="76"/>
      <c r="I211" s="76"/>
      <c r="J211" s="76"/>
      <c r="K211" s="77"/>
      <c r="L211" s="78"/>
      <c r="M211" s="79"/>
      <c r="N211" s="79"/>
      <c r="O211" s="79"/>
      <c r="P211" s="79"/>
      <c r="Q211" s="77"/>
      <c r="R211" s="76"/>
      <c r="S211" s="76"/>
      <c r="T211" s="76"/>
      <c r="U211" s="76"/>
      <c r="V211" s="76"/>
      <c r="W211" s="76"/>
      <c r="X211" s="76"/>
      <c r="Y211" s="76"/>
      <c r="Z211" s="76"/>
      <c r="AA211" s="80"/>
      <c r="AB211" s="80"/>
      <c r="AC211" s="80"/>
    </row>
    <row r="212" spans="1:29" ht="13.2" x14ac:dyDescent="0.25">
      <c r="A212" s="128" t="s">
        <v>227</v>
      </c>
      <c r="B212" s="97">
        <v>77</v>
      </c>
      <c r="C212" s="98">
        <f>9188/1000</f>
        <v>9.1880000000000006</v>
      </c>
      <c r="D212" s="99">
        <f ca="1">IFERROR(__xludf.DUMMYFUNCTION("$C206*IMPORTRANGE(""https://docs.google.com/spreadsheets/d/1xsp01RMmkav9iTy39Zaj_7tE9677EGlOJ14KU9TZn7I/"",""1985-2003!H4275"")"),10.180304)</f>
        <v>10.180304</v>
      </c>
      <c r="E212" s="99">
        <f ca="1">IFERROR(__xludf.DUMMYFUNCTION("$C206*IMPORTRANGE(""https://docs.google.com/spreadsheets/d/1xsp01RMmkav9iTy39Zaj_7tE9677EGlOJ14KU9TZn7I/"",""1985-2003!T4275"")"),6.1449344)</f>
        <v>6.1449344000000004</v>
      </c>
      <c r="F212" s="99">
        <f ca="1">IFERROR(__xludf.DUMMYFUNCTION("$C206*IMPORTRANGE(""https://docs.google.com/spreadsheets/d/1xsp01RMmkav9iTy39Zaj_7tE9677EGlOJ14KU9TZn7I/"",""1985-2003!AC4275"")"),997.17364)</f>
        <v>997.17363999999998</v>
      </c>
      <c r="G212" s="128" t="s">
        <v>8</v>
      </c>
      <c r="H212" s="76"/>
      <c r="I212" s="76"/>
      <c r="J212" s="76"/>
      <c r="K212" s="77"/>
      <c r="L212" s="78"/>
      <c r="M212" s="79"/>
      <c r="N212" s="79"/>
      <c r="O212" s="79"/>
      <c r="P212" s="79"/>
      <c r="Q212" s="77"/>
      <c r="R212" s="76"/>
      <c r="S212" s="76"/>
      <c r="T212" s="76"/>
      <c r="U212" s="76"/>
      <c r="V212" s="76"/>
      <c r="W212" s="76"/>
      <c r="X212" s="76"/>
      <c r="Y212" s="76"/>
      <c r="Z212" s="76"/>
      <c r="AA212" s="80"/>
      <c r="AB212" s="80"/>
      <c r="AC212" s="80"/>
    </row>
    <row r="213" spans="1:29" ht="13.2" x14ac:dyDescent="0.25">
      <c r="A213" s="126" t="s">
        <v>228</v>
      </c>
      <c r="B213" s="87">
        <v>50</v>
      </c>
      <c r="C213" s="88">
        <f>7131.8/1000</f>
        <v>7.1318000000000001</v>
      </c>
      <c r="D213" s="96">
        <f ca="1">IFERROR(__xludf.DUMMYFUNCTION("$C207*IMPORTRANGE(""https://docs.google.com/spreadsheets/d/1xsp01RMmkav9iTy39Zaj_7tE9677EGlOJ14KU9TZn7I/"",""1985-2003!H4297"")"),8.1980041)</f>
        <v>8.1980041000000003</v>
      </c>
      <c r="E213" s="96">
        <f ca="1">IFERROR(__xludf.DUMMYFUNCTION("$C207*IMPORTRANGE(""https://docs.google.com/spreadsheets/d/1xsp01RMmkav9iTy39Zaj_7tE9677EGlOJ14KU9TZn7I/"",""1985-2003!T4297"")"),4.96088008)</f>
        <v>4.9608800799999999</v>
      </c>
      <c r="F213" s="96">
        <f ca="1">IFERROR(__xludf.DUMMYFUNCTION("$C207*IMPORTRANGE(""https://docs.google.com/spreadsheets/d/1xsp01RMmkav9iTy39Zaj_7tE9677EGlOJ14KU9TZn7I/"",""1985-2003!AC4297"")"),762.460738)</f>
        <v>762.46073799999999</v>
      </c>
      <c r="G213" s="126" t="s">
        <v>8</v>
      </c>
      <c r="H213" s="76"/>
      <c r="I213" s="76"/>
      <c r="J213" s="76"/>
      <c r="K213" s="77"/>
      <c r="L213" s="78"/>
      <c r="M213" s="79"/>
      <c r="N213" s="79"/>
      <c r="O213" s="79"/>
      <c r="P213" s="79"/>
      <c r="Q213" s="77"/>
      <c r="R213" s="76"/>
      <c r="S213" s="76"/>
      <c r="T213" s="76"/>
      <c r="U213" s="76"/>
      <c r="V213" s="76"/>
      <c r="W213" s="76"/>
      <c r="X213" s="76"/>
      <c r="Y213" s="76"/>
      <c r="Z213" s="76"/>
      <c r="AA213" s="80"/>
      <c r="AB213" s="80"/>
      <c r="AC213" s="80"/>
    </row>
    <row r="214" spans="1:29" ht="13.2" x14ac:dyDescent="0.25">
      <c r="A214" s="128" t="s">
        <v>229</v>
      </c>
      <c r="B214" s="97">
        <v>62</v>
      </c>
      <c r="C214" s="98">
        <f>54184/1000</f>
        <v>54.183999999999997</v>
      </c>
      <c r="D214" s="99">
        <f ca="1">IFERROR(__xludf.DUMMYFUNCTION("$C208*IMPORTRANGE(""https://docs.google.com/spreadsheets/d/1xsp01RMmkav9iTy39Zaj_7tE9677EGlOJ14KU9TZn7I/"",""1985-2003!H4320"")"),63.5930516)</f>
        <v>63.593051600000003</v>
      </c>
      <c r="E214" s="99">
        <f ca="1">IFERROR(__xludf.DUMMYFUNCTION("$C208*IMPORTRANGE(""https://docs.google.com/spreadsheets/d/1xsp01RMmkav9iTy39Zaj_7tE9677EGlOJ14KU9TZn7I/"",""1985-2003!T4320"")"),37.359868)</f>
        <v>37.359867999999999</v>
      </c>
      <c r="F214" s="99">
        <f ca="1">IFERROR(__xludf.DUMMYFUNCTION("$C208*IMPORTRANGE(""https://docs.google.com/spreadsheets/d/1xsp01RMmkav9iTy39Zaj_7tE9677EGlOJ14KU9TZn7I/"",""1985-2003!AC4320"")"),5871.92008)</f>
        <v>5871.9200799999999</v>
      </c>
      <c r="G214" s="128" t="s">
        <v>8</v>
      </c>
      <c r="H214" s="76"/>
      <c r="I214" s="76"/>
      <c r="J214" s="76"/>
      <c r="K214" s="77"/>
      <c r="L214" s="78"/>
      <c r="M214" s="79"/>
      <c r="N214" s="79"/>
      <c r="O214" s="79"/>
      <c r="P214" s="79"/>
      <c r="Q214" s="77"/>
      <c r="R214" s="76"/>
      <c r="S214" s="76"/>
      <c r="T214" s="76"/>
      <c r="U214" s="76"/>
      <c r="V214" s="76"/>
      <c r="W214" s="76"/>
      <c r="X214" s="76"/>
      <c r="Y214" s="76"/>
      <c r="Z214" s="76"/>
      <c r="AA214" s="80"/>
      <c r="AB214" s="80"/>
      <c r="AC214" s="80"/>
    </row>
    <row r="215" spans="1:29" ht="13.2" x14ac:dyDescent="0.25">
      <c r="A215" s="126" t="s">
        <v>230</v>
      </c>
      <c r="B215" s="87">
        <v>66</v>
      </c>
      <c r="C215" s="88">
        <f>19652.3/1000</f>
        <v>19.6523</v>
      </c>
      <c r="D215" s="96">
        <f ca="1">IFERROR(__xludf.DUMMYFUNCTION("$C209*IMPORTRANGE(""https://docs.google.com/spreadsheets/d/1xsp01RMmkav9iTy39Zaj_7tE9677EGlOJ14KU9TZn7I/"",""1985-2003!H4343"")"),22.9155644149999)</f>
        <v>22.915564414999899</v>
      </c>
      <c r="E215" s="96">
        <f ca="1">IFERROR(__xludf.DUMMYFUNCTION("$C209*IMPORTRANGE(""https://docs.google.com/spreadsheets/d/1xsp01RMmkav9iTy39Zaj_7tE9677EGlOJ14KU9TZn7I/"",""1985-2003!T4343"")"),13.789036295)</f>
        <v>13.789036295000001</v>
      </c>
      <c r="F215" s="96">
        <f ca="1">IFERROR(__xludf.DUMMYFUNCTION("$C209*IMPORTRANGE(""https://docs.google.com/spreadsheets/d/1xsp01RMmkav9iTy39Zaj_7tE9677EGlOJ14KU9TZn7I/"",""1985-2003!AC4343"")"),2139.4476395)</f>
        <v>2139.4476395000002</v>
      </c>
      <c r="G215" s="126" t="s">
        <v>8</v>
      </c>
      <c r="H215" s="76"/>
      <c r="I215" s="76"/>
      <c r="J215" s="76"/>
      <c r="K215" s="77"/>
      <c r="L215" s="78"/>
      <c r="M215" s="79"/>
      <c r="N215" s="79"/>
      <c r="O215" s="79"/>
      <c r="P215" s="79"/>
      <c r="Q215" s="77"/>
      <c r="R215" s="76"/>
      <c r="S215" s="76"/>
      <c r="T215" s="76"/>
      <c r="U215" s="76"/>
      <c r="V215" s="76"/>
      <c r="W215" s="76"/>
      <c r="X215" s="76"/>
      <c r="Y215" s="76"/>
      <c r="Z215" s="76"/>
      <c r="AA215" s="80"/>
      <c r="AB215" s="80"/>
      <c r="AC215" s="80"/>
    </row>
    <row r="216" spans="1:29" ht="13.2" x14ac:dyDescent="0.25">
      <c r="A216" s="129" t="s">
        <v>231</v>
      </c>
      <c r="B216" s="100">
        <v>104</v>
      </c>
      <c r="C216" s="101">
        <f>8661.7/1000</f>
        <v>8.6617000000000015</v>
      </c>
      <c r="D216" s="102">
        <f ca="1">IFERROR(__xludf.DUMMYFUNCTION("$C210*IMPORTRANGE(""https://docs.google.com/spreadsheets/d/1xsp01RMmkav9iTy39Zaj_7tE9677EGlOJ14KU9TZn7I/"",""1985-2003!H4365"")"),9.69157613)</f>
        <v>9.6915761299999996</v>
      </c>
      <c r="E216" s="102">
        <f ca="1">IFERROR(__xludf.DUMMYFUNCTION("$C210*IMPORTRANGE(""https://docs.google.com/spreadsheets/d/1xsp01RMmkav9iTy39Zaj_7tE9677EGlOJ14KU9TZn7I/"",""1985-2003!T4365"")"),5.8812943)</f>
        <v>5.8812943000000004</v>
      </c>
      <c r="F216" s="102">
        <f ca="1">IFERROR(__xludf.DUMMYFUNCTION("$C210*IMPORTRANGE(""https://docs.google.com/spreadsheets/d/1xsp01RMmkav9iTy39Zaj_7tE9677EGlOJ14KU9TZn7I/"",""1985-2003!AC4365"")"),972.795527)</f>
        <v>972.79552699999999</v>
      </c>
      <c r="G216" s="129" t="s">
        <v>8</v>
      </c>
      <c r="H216" s="76"/>
      <c r="I216" s="76"/>
      <c r="J216" s="76"/>
      <c r="K216" s="77"/>
      <c r="L216" s="78"/>
      <c r="M216" s="79"/>
      <c r="N216" s="79"/>
      <c r="O216" s="79"/>
      <c r="P216" s="79"/>
      <c r="Q216" s="77"/>
      <c r="R216" s="76"/>
      <c r="S216" s="76"/>
      <c r="T216" s="76"/>
      <c r="U216" s="76"/>
      <c r="V216" s="76"/>
      <c r="W216" s="76"/>
      <c r="X216" s="76"/>
      <c r="Y216" s="76"/>
      <c r="Z216" s="76"/>
      <c r="AA216" s="80"/>
      <c r="AB216" s="80"/>
      <c r="AC216" s="80"/>
    </row>
    <row r="217" spans="1:29" ht="13.2" x14ac:dyDescent="0.25">
      <c r="A217" s="120">
        <v>2001</v>
      </c>
      <c r="B217" s="121"/>
      <c r="C217" s="122"/>
      <c r="D217" s="122"/>
      <c r="E217" s="122"/>
      <c r="F217" s="122"/>
      <c r="G217" s="123"/>
      <c r="H217" s="76"/>
      <c r="I217" s="76"/>
      <c r="J217" s="76"/>
      <c r="K217" s="77"/>
      <c r="L217" s="78"/>
      <c r="M217" s="79"/>
      <c r="N217" s="79"/>
      <c r="O217" s="79"/>
      <c r="P217" s="79"/>
      <c r="Q217" s="77"/>
      <c r="R217" s="76"/>
      <c r="S217" s="76"/>
      <c r="T217" s="76"/>
      <c r="U217" s="76"/>
      <c r="V217" s="76"/>
      <c r="W217" s="76"/>
      <c r="X217" s="76"/>
      <c r="Y217" s="76"/>
      <c r="Z217" s="76"/>
      <c r="AA217" s="80"/>
      <c r="AB217" s="80"/>
      <c r="AC217" s="80"/>
    </row>
    <row r="218" spans="1:29" ht="13.2" x14ac:dyDescent="0.25">
      <c r="A218" s="130">
        <v>45292</v>
      </c>
      <c r="B218" s="84">
        <v>108</v>
      </c>
      <c r="C218" s="85">
        <f>14159.6/1000</f>
        <v>14.159600000000001</v>
      </c>
      <c r="D218" s="95">
        <f ca="1">IFERROR(__xludf.DUMMYFUNCTION("$C212*IMPORTRANGE(""https://docs.google.com/spreadsheets/d/1xsp01RMmkav9iTy39Zaj_7tE9677EGlOJ14KU9TZn7I/"",""1985-2003!H4389"")"),15.08563784)</f>
        <v>15.08563784</v>
      </c>
      <c r="E218" s="95">
        <f ca="1">IFERROR(__xludf.DUMMYFUNCTION("$C212*IMPORTRANGE(""https://docs.google.com/spreadsheets/d/1xsp01RMmkav9iTy39Zaj_7tE9677EGlOJ14KU9TZn7I/"",""1985-2003!T4389"")"),9.60941254)</f>
        <v>9.6094125399999992</v>
      </c>
      <c r="F218" s="95">
        <f ca="1">IFERROR(__xludf.DUMMYFUNCTION("$C212*IMPORTRANGE(""https://docs.google.com/spreadsheets/d/1xsp01RMmkav9iTy39Zaj_7tE9677EGlOJ14KU9TZn7I/"",""1985-2003!AC4389"")"),1654.124472)</f>
        <v>1654.124472</v>
      </c>
      <c r="G218" s="124" t="s">
        <v>8</v>
      </c>
      <c r="H218" s="76"/>
      <c r="I218" s="76"/>
      <c r="J218" s="76"/>
      <c r="K218" s="77"/>
      <c r="L218" s="78"/>
      <c r="M218" s="79"/>
      <c r="N218" s="79"/>
      <c r="O218" s="79"/>
      <c r="P218" s="79"/>
      <c r="Q218" s="77"/>
      <c r="R218" s="76"/>
      <c r="S218" s="76"/>
      <c r="T218" s="76"/>
      <c r="U218" s="76"/>
      <c r="V218" s="76"/>
      <c r="W218" s="76"/>
      <c r="X218" s="76"/>
      <c r="Y218" s="76"/>
      <c r="Z218" s="76"/>
      <c r="AA218" s="80"/>
      <c r="AB218" s="80"/>
      <c r="AC218" s="80"/>
    </row>
    <row r="219" spans="1:29" ht="13.2" x14ac:dyDescent="0.25">
      <c r="A219" s="131">
        <v>45323</v>
      </c>
      <c r="B219" s="97">
        <v>100</v>
      </c>
      <c r="C219" s="98">
        <f>14813.1/1000</f>
        <v>14.8131</v>
      </c>
      <c r="D219" s="99">
        <f ca="1">IFERROR(__xludf.DUMMYFUNCTION("$C213*IMPORTRANGE(""https://docs.google.com/spreadsheets/d/1xsp01RMmkav9iTy39Zaj_7tE9677EGlOJ14KU9TZn7I/"",""1985-2003!H4410"")"),16.104061665)</f>
        <v>16.104061665</v>
      </c>
      <c r="E219" s="99">
        <f ca="1">IFERROR(__xludf.DUMMYFUNCTION("$C213*IMPORTRANGE(""https://docs.google.com/spreadsheets/d/1xsp01RMmkav9iTy39Zaj_7tE9677EGlOJ14KU9TZn7I/"",""1985-2003!T4410"")"),10.2254829299999)</f>
        <v>10.225482929999901</v>
      </c>
      <c r="F219" s="99">
        <f ca="1">IFERROR(__xludf.DUMMYFUNCTION("$C213*IMPORTRANGE(""https://docs.google.com/spreadsheets/d/1xsp01RMmkav9iTy39Zaj_7tE9677EGlOJ14KU9TZn7I/"",""1985-2003!AC4410"")"),1722.0969405)</f>
        <v>1722.0969405000001</v>
      </c>
      <c r="G219" s="128" t="s">
        <v>8</v>
      </c>
      <c r="H219" s="76"/>
      <c r="I219" s="76"/>
      <c r="J219" s="76"/>
      <c r="K219" s="77"/>
      <c r="L219" s="78"/>
      <c r="M219" s="79"/>
      <c r="N219" s="79"/>
      <c r="O219" s="79"/>
      <c r="P219" s="79"/>
      <c r="Q219" s="77"/>
      <c r="R219" s="76"/>
      <c r="S219" s="76"/>
      <c r="T219" s="76"/>
      <c r="U219" s="76"/>
      <c r="V219" s="76"/>
      <c r="W219" s="76"/>
      <c r="X219" s="76"/>
      <c r="Y219" s="76"/>
      <c r="Z219" s="76"/>
      <c r="AA219" s="80"/>
      <c r="AB219" s="80"/>
      <c r="AC219" s="80"/>
    </row>
    <row r="220" spans="1:29" ht="13.2" x14ac:dyDescent="0.25">
      <c r="A220" s="132">
        <v>45352</v>
      </c>
      <c r="B220" s="87">
        <v>122</v>
      </c>
      <c r="C220" s="88">
        <f>38399.5/1000</f>
        <v>38.399500000000003</v>
      </c>
      <c r="D220" s="96">
        <f ca="1">IFERROR(__xludf.DUMMYFUNCTION("$C214*IMPORTRANGE(""https://docs.google.com/spreadsheets/d/1xsp01RMmkav9iTy39Zaj_7tE9677EGlOJ14KU9TZn7I/"",""1985-2003!H4433"")"),42.46600705)</f>
        <v>42.466007050000002</v>
      </c>
      <c r="E220" s="96">
        <f ca="1">IFERROR(__xludf.DUMMYFUNCTION("$C214*IMPORTRANGE(""https://docs.google.com/spreadsheets/d/1xsp01RMmkav9iTy39Zaj_7tE9677EGlOJ14KU9TZn7I/"",""1985-2003!T4433"")"),26.727971975)</f>
        <v>26.727971974999999</v>
      </c>
      <c r="F220" s="96">
        <f ca="1">IFERROR(__xludf.DUMMYFUNCTION("$C214*IMPORTRANGE(""https://docs.google.com/spreadsheets/d/1xsp01RMmkav9iTy39Zaj_7tE9677EGlOJ14KU9TZn7I/"",""1985-2003!AC4433"")"),4693.570885)</f>
        <v>4693.5708850000001</v>
      </c>
      <c r="G220" s="126" t="s">
        <v>8</v>
      </c>
      <c r="H220" s="76"/>
      <c r="I220" s="76"/>
      <c r="J220" s="76"/>
      <c r="K220" s="77"/>
      <c r="L220" s="78"/>
      <c r="M220" s="79"/>
      <c r="N220" s="79"/>
      <c r="O220" s="79"/>
      <c r="P220" s="79"/>
      <c r="Q220" s="77"/>
      <c r="R220" s="76"/>
      <c r="S220" s="76"/>
      <c r="T220" s="76"/>
      <c r="U220" s="76"/>
      <c r="V220" s="76"/>
      <c r="W220" s="76"/>
      <c r="X220" s="76"/>
      <c r="Y220" s="76"/>
      <c r="Z220" s="76"/>
      <c r="AA220" s="80"/>
      <c r="AB220" s="80"/>
      <c r="AC220" s="80"/>
    </row>
    <row r="221" spans="1:29" ht="13.2" x14ac:dyDescent="0.25">
      <c r="A221" s="131">
        <v>45383</v>
      </c>
      <c r="B221" s="97">
        <v>95</v>
      </c>
      <c r="C221" s="98">
        <f>15836/1000</f>
        <v>15.836</v>
      </c>
      <c r="D221" s="99">
        <f ca="1">IFERROR(__xludf.DUMMYFUNCTION("$C215*IMPORTRANGE(""https://docs.google.com/spreadsheets/d/1xsp01RMmkav9iTy39Zaj_7tE9677EGlOJ14KU9TZn7I/"",""1985-2003!H4455"")"),17.7078152)</f>
        <v>17.707815199999999</v>
      </c>
      <c r="E221" s="99">
        <f ca="1">IFERROR(__xludf.DUMMYFUNCTION("$C215*IMPORTRANGE(""https://docs.google.com/spreadsheets/d/1xsp01RMmkav9iTy39Zaj_7tE9677EGlOJ14KU9TZn7I/"",""1985-2003!T4455"")"),11.021856)</f>
        <v>11.021856</v>
      </c>
      <c r="F221" s="99">
        <f ca="1">IFERROR(__xludf.DUMMYFUNCTION("$C215*IMPORTRANGE(""https://docs.google.com/spreadsheets/d/1xsp01RMmkav9iTy39Zaj_7tE9677EGlOJ14KU9TZn7I/"",""1985-2003!AC4455"")"),1960.18008)</f>
        <v>1960.1800800000001</v>
      </c>
      <c r="G221" s="128" t="s">
        <v>8</v>
      </c>
      <c r="H221" s="76"/>
      <c r="I221" s="76"/>
      <c r="J221" s="76"/>
      <c r="K221" s="77"/>
      <c r="L221" s="78"/>
      <c r="M221" s="79"/>
      <c r="N221" s="79"/>
      <c r="O221" s="79"/>
      <c r="P221" s="79"/>
      <c r="Q221" s="77"/>
      <c r="R221" s="76"/>
      <c r="S221" s="76"/>
      <c r="T221" s="76"/>
      <c r="U221" s="76"/>
      <c r="V221" s="76"/>
      <c r="W221" s="76"/>
      <c r="X221" s="76"/>
      <c r="Y221" s="76"/>
      <c r="Z221" s="76"/>
      <c r="AA221" s="80"/>
      <c r="AB221" s="80"/>
      <c r="AC221" s="80"/>
    </row>
    <row r="222" spans="1:29" ht="13.2" x14ac:dyDescent="0.25">
      <c r="A222" s="133">
        <v>45413</v>
      </c>
      <c r="B222" s="87">
        <v>107</v>
      </c>
      <c r="C222" s="88">
        <f>6532.6/1000</f>
        <v>6.5326000000000004</v>
      </c>
      <c r="D222" s="96">
        <f ca="1">IFERROR(__xludf.DUMMYFUNCTION("$C216*IMPORTRANGE(""https://docs.google.com/spreadsheets/d/1xsp01RMmkav9iTy39Zaj_7tE9677EGlOJ14KU9TZn7I/"",""1985-2003!H4479"")"),7.43867162)</f>
        <v>7.43867162</v>
      </c>
      <c r="E222" s="96">
        <f ca="1">IFERROR(__xludf.DUMMYFUNCTION("$C216*IMPORTRANGE(""https://docs.google.com/spreadsheets/d/1xsp01RMmkav9iTy39Zaj_7tE9677EGlOJ14KU9TZn7I/"",""1985-2003!T4479"")"),4.58000586)</f>
        <v>4.58000586</v>
      </c>
      <c r="F222" s="96">
        <f ca="1">IFERROR(__xludf.DUMMYFUNCTION("$C216*IMPORTRANGE(""https://docs.google.com/spreadsheets/d/1xsp01RMmkav9iTy39Zaj_7tE9677EGlOJ14KU9TZn7I/"",""1985-2003!AC4479"")"),792.992314)</f>
        <v>792.99231399999996</v>
      </c>
      <c r="G222" s="126" t="s">
        <v>8</v>
      </c>
      <c r="H222" s="76"/>
      <c r="I222" s="76"/>
      <c r="J222" s="76"/>
      <c r="K222" s="77"/>
      <c r="L222" s="78"/>
      <c r="M222" s="79"/>
      <c r="N222" s="79"/>
      <c r="O222" s="79"/>
      <c r="P222" s="79"/>
      <c r="Q222" s="77"/>
      <c r="R222" s="76"/>
      <c r="S222" s="76"/>
      <c r="T222" s="76"/>
      <c r="U222" s="76"/>
      <c r="V222" s="76"/>
      <c r="W222" s="76"/>
      <c r="X222" s="76"/>
      <c r="Y222" s="76"/>
      <c r="Z222" s="76"/>
      <c r="AA222" s="80"/>
      <c r="AB222" s="80"/>
      <c r="AC222" s="80"/>
    </row>
    <row r="223" spans="1:29" ht="13.2" x14ac:dyDescent="0.25">
      <c r="A223" s="131">
        <v>45444</v>
      </c>
      <c r="B223" s="104">
        <v>100</v>
      </c>
      <c r="C223" s="98">
        <f>10484.2/1000</f>
        <v>10.484200000000001</v>
      </c>
      <c r="D223" s="99">
        <f ca="1">IFERROR(__xludf.DUMMYFUNCTION("$C217*IMPORTRANGE(""https://docs.google.com/spreadsheets/d/1xsp01RMmkav9iTy39Zaj_7tE9677EGlOJ14KU9TZn7I/"",""1985-2003!H4501"")"),12.27385294)</f>
        <v>12.273852939999999</v>
      </c>
      <c r="E223" s="99">
        <f ca="1">IFERROR(__xludf.DUMMYFUNCTION("$C217*IMPORTRANGE(""https://docs.google.com/spreadsheets/d/1xsp01RMmkav9iTy39Zaj_7tE9677EGlOJ14KU9TZn7I/"",""1985-2003!T4501"")"),7.45845988)</f>
        <v>7.4584598800000004</v>
      </c>
      <c r="F223" s="99">
        <f ca="1">IFERROR(__xludf.DUMMYFUNCTION("$C217*IMPORTRANGE(""https://docs.google.com/spreadsheets/d/1xsp01RMmkav9iTy39Zaj_7tE9677EGlOJ14KU9TZn7I/"",""1985-2003!AC4501"")"),1287.564602)</f>
        <v>1287.5646019999999</v>
      </c>
      <c r="G223" s="128" t="s">
        <v>8</v>
      </c>
      <c r="H223" s="76"/>
      <c r="I223" s="76"/>
      <c r="J223" s="76"/>
      <c r="K223" s="77"/>
      <c r="L223" s="78"/>
      <c r="M223" s="79"/>
      <c r="N223" s="79"/>
      <c r="O223" s="79"/>
      <c r="P223" s="79"/>
      <c r="Q223" s="77"/>
      <c r="R223" s="76"/>
      <c r="S223" s="76"/>
      <c r="T223" s="76"/>
      <c r="U223" s="76"/>
      <c r="V223" s="76"/>
      <c r="W223" s="76"/>
      <c r="X223" s="76"/>
      <c r="Y223" s="76"/>
      <c r="Z223" s="76"/>
      <c r="AA223" s="80"/>
      <c r="AB223" s="80"/>
      <c r="AC223" s="80"/>
    </row>
    <row r="224" spans="1:29" ht="13.2" x14ac:dyDescent="0.25">
      <c r="A224" s="132">
        <v>45474</v>
      </c>
      <c r="B224" s="87">
        <v>122</v>
      </c>
      <c r="C224" s="88">
        <f>21818.2/1000</f>
        <v>21.818200000000001</v>
      </c>
      <c r="D224" s="96">
        <f ca="1">IFERROR(__xludf.DUMMYFUNCTION("$C218*IMPORTRANGE(""https://docs.google.com/spreadsheets/d/1xsp01RMmkav9iTy39Zaj_7tE9677EGlOJ14KU9TZn7I/"",""1985-2003!H4524"")"),25.3745666)</f>
        <v>25.374566600000001</v>
      </c>
      <c r="E224" s="96">
        <f ca="1">IFERROR(__xludf.DUMMYFUNCTION("$C218*IMPORTRANGE(""https://docs.google.com/spreadsheets/d/1xsp01RMmkav9iTy39Zaj_7tE9677EGlOJ14KU9TZn7I/"",""1985-2003!T4524"")"),15.4254674)</f>
        <v>15.4254674</v>
      </c>
      <c r="F224" s="96">
        <f ca="1">IFERROR(__xludf.DUMMYFUNCTION("$C218*IMPORTRANGE(""https://docs.google.com/spreadsheets/d/1xsp01RMmkav9iTy39Zaj_7tE9677EGlOJ14KU9TZn7I/"",""1985-2003!AC4524"")"),2714.838626)</f>
        <v>2714.8386260000002</v>
      </c>
      <c r="G224" s="126" t="s">
        <v>8</v>
      </c>
      <c r="H224" s="76"/>
      <c r="I224" s="76"/>
      <c r="J224" s="76"/>
      <c r="K224" s="77"/>
      <c r="L224" s="78"/>
      <c r="M224" s="79"/>
      <c r="N224" s="79"/>
      <c r="O224" s="79"/>
      <c r="P224" s="79"/>
      <c r="Q224" s="77"/>
      <c r="R224" s="76"/>
      <c r="S224" s="76"/>
      <c r="T224" s="76"/>
      <c r="U224" s="76"/>
      <c r="V224" s="76"/>
      <c r="W224" s="76"/>
      <c r="X224" s="76"/>
      <c r="Y224" s="76"/>
      <c r="Z224" s="76"/>
      <c r="AA224" s="80"/>
      <c r="AB224" s="80"/>
      <c r="AC224" s="80"/>
    </row>
    <row r="225" spans="1:29" ht="13.2" x14ac:dyDescent="0.25">
      <c r="A225" s="131">
        <v>45505</v>
      </c>
      <c r="B225" s="97">
        <v>97</v>
      </c>
      <c r="C225" s="98">
        <f>10432/1000</f>
        <v>10.432</v>
      </c>
      <c r="D225" s="99">
        <f ca="1">IFERROR(__xludf.DUMMYFUNCTION("$C219*IMPORTRANGE(""https://docs.google.com/spreadsheets/d/1xsp01RMmkav9iTy39Zaj_7tE9677EGlOJ14KU9TZn7I/"",""1985-2003!H4548"")"),11.4459904)</f>
        <v>11.445990399999999</v>
      </c>
      <c r="E225" s="99">
        <f ca="1">IFERROR(__xludf.DUMMYFUNCTION("$C219*IMPORTRANGE(""https://docs.google.com/spreadsheets/d/1xsp01RMmkav9iTy39Zaj_7tE9677EGlOJ14KU9TZn7I/"",""1985-2003!T4548"")"),7.2283328)</f>
        <v>7.2283327999999996</v>
      </c>
      <c r="F225" s="99">
        <f ca="1">IFERROR(__xludf.DUMMYFUNCTION("$C219*IMPORTRANGE(""https://docs.google.com/spreadsheets/d/1xsp01RMmkav9iTy39Zaj_7tE9677EGlOJ14KU9TZn7I/"",""1985-2003!AC4548"")"),1256.11712)</f>
        <v>1256.1171200000001</v>
      </c>
      <c r="G225" s="128" t="s">
        <v>8</v>
      </c>
      <c r="H225" s="76"/>
      <c r="I225" s="76"/>
      <c r="J225" s="76"/>
      <c r="K225" s="77"/>
      <c r="L225" s="78"/>
      <c r="M225" s="79"/>
      <c r="N225" s="79"/>
      <c r="O225" s="79"/>
      <c r="P225" s="79"/>
      <c r="Q225" s="77"/>
      <c r="R225" s="76"/>
      <c r="S225" s="76"/>
      <c r="T225" s="76"/>
      <c r="U225" s="76"/>
      <c r="V225" s="76"/>
      <c r="W225" s="76"/>
      <c r="X225" s="76"/>
      <c r="Y225" s="76"/>
      <c r="Z225" s="76"/>
      <c r="AA225" s="80"/>
      <c r="AB225" s="80"/>
      <c r="AC225" s="80"/>
    </row>
    <row r="226" spans="1:29" ht="13.2" x14ac:dyDescent="0.25">
      <c r="A226" s="132">
        <v>45536</v>
      </c>
      <c r="B226" s="87">
        <v>71</v>
      </c>
      <c r="C226" s="88">
        <f>10907.6/1000</f>
        <v>10.9076</v>
      </c>
      <c r="D226" s="96">
        <f ca="1">IFERROR(__xludf.DUMMYFUNCTION("$C220*IMPORTRANGE(""https://docs.google.com/spreadsheets/d/1xsp01RMmkav9iTy39Zaj_7tE9677EGlOJ14KU9TZn7I/"",""1985-2003!H4569"")"),11.92636984)</f>
        <v>11.92636984</v>
      </c>
      <c r="E226" s="96">
        <f ca="1">IFERROR(__xludf.DUMMYFUNCTION("$C220*IMPORTRANGE(""https://docs.google.com/spreadsheets/d/1xsp01RMmkav9iTy39Zaj_7tE9677EGlOJ14KU9TZn7I/"",""1985-2003!T4569"")"),7.43407478)</f>
        <v>7.4340747800000004</v>
      </c>
      <c r="F226" s="96">
        <f ca="1">IFERROR(__xludf.DUMMYFUNCTION("$C220*IMPORTRANGE(""https://docs.google.com/spreadsheets/d/1xsp01RMmkav9iTy39Zaj_7tE9677EGlOJ14KU9TZn7I/"",""1985-2003!AC4569"")"),1296.204646)</f>
        <v>1296.2046459999999</v>
      </c>
      <c r="G226" s="126" t="s">
        <v>8</v>
      </c>
      <c r="H226" s="76"/>
      <c r="I226" s="76"/>
      <c r="J226" s="76"/>
      <c r="K226" s="77"/>
      <c r="L226" s="78"/>
      <c r="M226" s="79"/>
      <c r="N226" s="79"/>
      <c r="O226" s="79"/>
      <c r="P226" s="79"/>
      <c r="Q226" s="77"/>
      <c r="R226" s="76"/>
      <c r="S226" s="76"/>
      <c r="T226" s="76"/>
      <c r="U226" s="76"/>
      <c r="V226" s="76"/>
      <c r="W226" s="76"/>
      <c r="X226" s="76"/>
      <c r="Y226" s="76"/>
      <c r="Z226" s="76"/>
      <c r="AA226" s="80"/>
      <c r="AB226" s="80"/>
      <c r="AC226" s="80"/>
    </row>
    <row r="227" spans="1:29" ht="13.2" x14ac:dyDescent="0.25">
      <c r="A227" s="131">
        <v>45566</v>
      </c>
      <c r="B227" s="97">
        <v>91</v>
      </c>
      <c r="C227" s="98">
        <f>5667.8/1000</f>
        <v>5.6678000000000006</v>
      </c>
      <c r="D227" s="99">
        <f ca="1">IFERROR(__xludf.DUMMYFUNCTION("$C221*IMPORTRANGE(""https://docs.google.com/spreadsheets/d/1xsp01RMmkav9iTy39Zaj_7tE9677EGlOJ14KU9TZn7I/"",""1985-2003!H4593"")"),6.26461934)</f>
        <v>6.2646193400000003</v>
      </c>
      <c r="E227" s="99">
        <f ca="1">IFERROR(__xludf.DUMMYFUNCTION("$C221*IMPORTRANGE(""https://docs.google.com/spreadsheets/d/1xsp01RMmkav9iTy39Zaj_7tE9677EGlOJ14KU9TZn7I/"",""1985-2003!T4593"")"),3.90568098)</f>
        <v>3.9056809800000001</v>
      </c>
      <c r="F227" s="99">
        <f ca="1">IFERROR(__xludf.DUMMYFUNCTION("$C221*IMPORTRANGE(""https://docs.google.com/spreadsheets/d/1xsp01RMmkav9iTy39Zaj_7tE9677EGlOJ14KU9TZn7I/"",""1985-2003!AC4593"")"),687.050716)</f>
        <v>687.05071599999997</v>
      </c>
      <c r="G227" s="128" t="s">
        <v>8</v>
      </c>
      <c r="H227" s="76"/>
      <c r="I227" s="76"/>
      <c r="J227" s="76"/>
      <c r="K227" s="77"/>
      <c r="L227" s="78"/>
      <c r="M227" s="79"/>
      <c r="N227" s="79"/>
      <c r="O227" s="79"/>
      <c r="P227" s="79"/>
      <c r="Q227" s="77"/>
      <c r="R227" s="76"/>
      <c r="S227" s="76"/>
      <c r="T227" s="76"/>
      <c r="U227" s="76"/>
      <c r="V227" s="76"/>
      <c r="W227" s="76"/>
      <c r="X227" s="76"/>
      <c r="Y227" s="76"/>
      <c r="Z227" s="76"/>
      <c r="AA227" s="80"/>
      <c r="AB227" s="80"/>
      <c r="AC227" s="80"/>
    </row>
    <row r="228" spans="1:29" ht="13.2" x14ac:dyDescent="0.25">
      <c r="A228" s="132">
        <v>45597</v>
      </c>
      <c r="B228" s="87">
        <v>102</v>
      </c>
      <c r="C228" s="88">
        <f>13037.6/1000</f>
        <v>13.037600000000001</v>
      </c>
      <c r="D228" s="96">
        <f ca="1">IFERROR(__xludf.DUMMYFUNCTION("$C222*IMPORTRANGE(""https://docs.google.com/spreadsheets/d/1xsp01RMmkav9iTy39Zaj_7tE9677EGlOJ14KU9TZn7I/"",""1985-2003!H4616"")"),14.716191)</f>
        <v>14.716191</v>
      </c>
      <c r="E228" s="96">
        <f ca="1">IFERROR(__xludf.DUMMYFUNCTION("$C222*IMPORTRANGE(""https://docs.google.com/spreadsheets/d/1xsp01RMmkav9iTy39Zaj_7tE9677EGlOJ14KU9TZn7I/"",""1985-2003!T4616"")"),9.11849744)</f>
        <v>9.1184974400000005</v>
      </c>
      <c r="F228" s="96">
        <f ca="1">IFERROR(__xludf.DUMMYFUNCTION("$C222*IMPORTRANGE(""https://docs.google.com/spreadsheets/d/1xsp01RMmkav9iTy39Zaj_7tE9677EGlOJ14KU9TZn7I/"",""1985-2003!AC4616"")"),1596.388932)</f>
        <v>1596.3889320000001</v>
      </c>
      <c r="G228" s="126" t="s">
        <v>8</v>
      </c>
      <c r="H228" s="76"/>
      <c r="I228" s="76"/>
      <c r="J228" s="76"/>
      <c r="K228" s="77"/>
      <c r="L228" s="78"/>
      <c r="M228" s="79"/>
      <c r="N228" s="79"/>
      <c r="O228" s="79"/>
      <c r="P228" s="79"/>
      <c r="Q228" s="77"/>
      <c r="R228" s="76"/>
      <c r="S228" s="76"/>
      <c r="T228" s="76"/>
      <c r="U228" s="76"/>
      <c r="V228" s="76"/>
      <c r="W228" s="76"/>
      <c r="X228" s="76"/>
      <c r="Y228" s="76"/>
      <c r="Z228" s="76"/>
      <c r="AA228" s="80"/>
      <c r="AB228" s="80"/>
      <c r="AC228" s="80"/>
    </row>
    <row r="229" spans="1:29" ht="13.2" x14ac:dyDescent="0.25">
      <c r="A229" s="134">
        <v>45627</v>
      </c>
      <c r="B229" s="100">
        <v>154</v>
      </c>
      <c r="C229" s="101">
        <f>15183.8/1000</f>
        <v>15.1838</v>
      </c>
      <c r="D229" s="102">
        <f ca="1">IFERROR(__xludf.DUMMYFUNCTION("$C223*IMPORTRANGE(""https://docs.google.com/spreadsheets/d/1xsp01RMmkav9iTy39Zaj_7tE9677EGlOJ14KU9TZn7I/"",""1985-2003!H4638"")"),17.0438155)</f>
        <v>17.043815500000001</v>
      </c>
      <c r="E229" s="102">
        <f ca="1">IFERROR(__xludf.DUMMYFUNCTION("$C223*IMPORTRANGE(""https://docs.google.com/spreadsheets/d/1xsp01RMmkav9iTy39Zaj_7tE9677EGlOJ14KU9TZn7I/"",""1985-2003!T4638"")"),10.51174474)</f>
        <v>10.511744739999999</v>
      </c>
      <c r="F229" s="102">
        <f ca="1">IFERROR(__xludf.DUMMYFUNCTION("$C223*IMPORTRANGE(""https://docs.google.com/spreadsheets/d/1xsp01RMmkav9iTy39Zaj_7tE9677EGlOJ14KU9TZn7I/"",""1985-2003!AC4638"")"),1936.845528)</f>
        <v>1936.8455280000001</v>
      </c>
      <c r="G229" s="129" t="s">
        <v>8</v>
      </c>
      <c r="H229" s="76"/>
      <c r="I229" s="76"/>
      <c r="J229" s="76"/>
      <c r="K229" s="77"/>
      <c r="L229" s="78"/>
      <c r="M229" s="79"/>
      <c r="N229" s="79"/>
      <c r="O229" s="79"/>
      <c r="P229" s="79"/>
      <c r="Q229" s="77"/>
      <c r="R229" s="76"/>
      <c r="S229" s="76"/>
      <c r="T229" s="76"/>
      <c r="U229" s="76"/>
      <c r="V229" s="76"/>
      <c r="W229" s="76"/>
      <c r="X229" s="76"/>
      <c r="Y229" s="76"/>
      <c r="Z229" s="76"/>
      <c r="AA229" s="80"/>
      <c r="AB229" s="80"/>
      <c r="AC229" s="80"/>
    </row>
    <row r="230" spans="1:29" ht="13.2" x14ac:dyDescent="0.25">
      <c r="A230" s="120">
        <v>2002</v>
      </c>
      <c r="B230" s="121"/>
      <c r="C230" s="122"/>
      <c r="D230" s="122"/>
      <c r="E230" s="122"/>
      <c r="F230" s="122"/>
      <c r="G230" s="123"/>
      <c r="H230" s="76"/>
      <c r="I230" s="76"/>
      <c r="J230" s="76"/>
      <c r="K230" s="77"/>
      <c r="L230" s="78"/>
      <c r="M230" s="79"/>
      <c r="N230" s="79"/>
      <c r="O230" s="79"/>
      <c r="P230" s="79"/>
      <c r="Q230" s="77"/>
      <c r="R230" s="76"/>
      <c r="S230" s="76"/>
      <c r="T230" s="76"/>
      <c r="U230" s="76"/>
      <c r="V230" s="76"/>
      <c r="W230" s="76"/>
      <c r="X230" s="76"/>
      <c r="Y230" s="76"/>
      <c r="Z230" s="76"/>
      <c r="AA230" s="80"/>
      <c r="AB230" s="80"/>
      <c r="AC230" s="80"/>
    </row>
    <row r="231" spans="1:29" ht="13.2" x14ac:dyDescent="0.25">
      <c r="A231" s="135" t="s">
        <v>232</v>
      </c>
      <c r="B231" s="84">
        <v>79</v>
      </c>
      <c r="C231" s="85">
        <f>16810.4/1000</f>
        <v>16.810400000000001</v>
      </c>
      <c r="D231" s="95">
        <f ca="1">IFERROR(__xludf.DUMMYFUNCTION("$C225*IMPORTRANGE(""https://docs.google.com/spreadsheets/d/1xsp01RMmkav9iTy39Zaj_7tE9677EGlOJ14KU9TZn7I/"",""1985-2003!H4662"")"),19.01592448)</f>
        <v>19.015924479999999</v>
      </c>
      <c r="E231" s="95">
        <f ca="1">IFERROR(__xludf.DUMMYFUNCTION("$C225*IMPORTRANGE(""https://docs.google.com/spreadsheets/d/1xsp01RMmkav9iTy39Zaj_7tE9677EGlOJ14KU9TZn7I/"",""1985-2003!T4662"")"),11.69415476)</f>
        <v>11.69415476</v>
      </c>
      <c r="F231" s="95">
        <f ca="1">IFERROR(__xludf.DUMMYFUNCTION("$C225*IMPORTRANGE(""https://docs.google.com/spreadsheets/d/1xsp01RMmkav9iTy39Zaj_7tE9677EGlOJ14KU9TZn7I/"",""1985-2003!AC4662"")"),2229.311196)</f>
        <v>2229.3111960000001</v>
      </c>
      <c r="G231" s="124" t="s">
        <v>8</v>
      </c>
      <c r="H231" s="76"/>
      <c r="I231" s="76"/>
      <c r="J231" s="76"/>
      <c r="K231" s="77"/>
      <c r="L231" s="78"/>
      <c r="M231" s="79"/>
      <c r="N231" s="79"/>
      <c r="O231" s="79"/>
      <c r="P231" s="79"/>
      <c r="Q231" s="77"/>
      <c r="R231" s="76"/>
      <c r="S231" s="76"/>
      <c r="T231" s="76"/>
      <c r="U231" s="76"/>
      <c r="V231" s="76"/>
      <c r="W231" s="76"/>
      <c r="X231" s="76"/>
      <c r="Y231" s="76"/>
      <c r="Z231" s="76"/>
      <c r="AA231" s="80"/>
      <c r="AB231" s="80"/>
      <c r="AC231" s="80"/>
    </row>
    <row r="232" spans="1:29" ht="13.2" x14ac:dyDescent="0.25">
      <c r="A232" s="136" t="s">
        <v>233</v>
      </c>
      <c r="B232" s="97">
        <v>70</v>
      </c>
      <c r="C232" s="98">
        <f>6686.8/1000</f>
        <v>6.6867999999999999</v>
      </c>
      <c r="D232" s="99">
        <f ca="1">IFERROR(__xludf.DUMMYFUNCTION("$C226*IMPORTRANGE(""https://docs.google.com/spreadsheets/d/1xsp01RMmkav9iTy39Zaj_7tE9677EGlOJ14KU9TZn7I/"",""1985-2003!H4683"")"),7.67912112)</f>
        <v>7.6791211199999996</v>
      </c>
      <c r="E232" s="99">
        <f ca="1">IFERROR(__xludf.DUMMYFUNCTION("$C226*IMPORTRANGE(""https://docs.google.com/spreadsheets/d/1xsp01RMmkav9iTy39Zaj_7tE9677EGlOJ14KU9TZn7I/"",""1985-2003!T4683"")"),4.69513662)</f>
        <v>4.6951366200000004</v>
      </c>
      <c r="F232" s="99">
        <f ca="1">IFERROR(__xludf.DUMMYFUNCTION("$C226*IMPORTRANGE(""https://docs.google.com/spreadsheets/d/1xsp01RMmkav9iTy39Zaj_7tE9677EGlOJ14KU9TZn7I/"",""1985-2003!AC4683"")"),893.85799)</f>
        <v>893.85798999999997</v>
      </c>
      <c r="G232" s="128" t="s">
        <v>8</v>
      </c>
      <c r="H232" s="76"/>
      <c r="I232" s="76"/>
      <c r="J232" s="76"/>
      <c r="K232" s="77"/>
      <c r="L232" s="78"/>
      <c r="M232" s="79"/>
      <c r="N232" s="79"/>
      <c r="O232" s="79"/>
      <c r="P232" s="79"/>
      <c r="Q232" s="77"/>
      <c r="R232" s="76"/>
      <c r="S232" s="76"/>
      <c r="T232" s="76"/>
      <c r="U232" s="76"/>
      <c r="V232" s="76"/>
      <c r="W232" s="76"/>
      <c r="X232" s="76"/>
      <c r="Y232" s="76"/>
      <c r="Z232" s="76"/>
      <c r="AA232" s="80"/>
      <c r="AB232" s="80"/>
      <c r="AC232" s="80"/>
    </row>
    <row r="233" spans="1:29" ht="13.2" x14ac:dyDescent="0.25">
      <c r="A233" s="137" t="s">
        <v>234</v>
      </c>
      <c r="B233" s="87">
        <v>107</v>
      </c>
      <c r="C233" s="88">
        <f>11395.8/1000</f>
        <v>11.395799999999999</v>
      </c>
      <c r="D233" s="96">
        <f ca="1">IFERROR(__xludf.DUMMYFUNCTION("$C227*IMPORTRANGE(""https://docs.google.com/spreadsheets/d/1xsp01RMmkav9iTy39Zaj_7tE9677EGlOJ14KU9TZn7I/"",""1985-2003!H4705"")"),12.9991890599999)</f>
        <v>12.9991890599999</v>
      </c>
      <c r="E233" s="96">
        <f ca="1">IFERROR(__xludf.DUMMYFUNCTION("$C227*IMPORTRANGE(""https://docs.google.com/spreadsheets/d/1xsp01RMmkav9iTy39Zaj_7tE9677EGlOJ14KU9TZn7I/"",""1985-2003!T4705"")"),7.99871201999999)</f>
        <v>7.9987120199999904</v>
      </c>
      <c r="F233" s="96">
        <f ca="1">IFERROR(__xludf.DUMMYFUNCTION("$C227*IMPORTRANGE(""https://docs.google.com/spreadsheets/d/1xsp01RMmkav9iTy39Zaj_7tE9677EGlOJ14KU9TZn7I/"",""1985-2003!AC4705"")"),1504.131642)</f>
        <v>1504.1316420000001</v>
      </c>
      <c r="G233" s="126" t="s">
        <v>8</v>
      </c>
      <c r="H233" s="76"/>
      <c r="I233" s="76"/>
      <c r="J233" s="76"/>
      <c r="K233" s="77"/>
      <c r="L233" s="78"/>
      <c r="M233" s="79"/>
      <c r="N233" s="79"/>
      <c r="O233" s="79"/>
      <c r="P233" s="79"/>
      <c r="Q233" s="77"/>
      <c r="R233" s="76"/>
      <c r="S233" s="76"/>
      <c r="T233" s="76"/>
      <c r="U233" s="76"/>
      <c r="V233" s="76"/>
      <c r="W233" s="76"/>
      <c r="X233" s="76"/>
      <c r="Y233" s="76"/>
      <c r="Z233" s="76"/>
      <c r="AA233" s="80"/>
      <c r="AB233" s="80"/>
      <c r="AC233" s="80"/>
    </row>
    <row r="234" spans="1:29" ht="13.2" x14ac:dyDescent="0.25">
      <c r="A234" s="136" t="s">
        <v>235</v>
      </c>
      <c r="B234" s="97">
        <v>100</v>
      </c>
      <c r="C234" s="98">
        <f>5074.5/1000</f>
        <v>5.0744999999999996</v>
      </c>
      <c r="D234" s="99">
        <f ca="1">IFERROR(__xludf.DUMMYFUNCTION("$C228*IMPORTRANGE(""https://docs.google.com/spreadsheets/d/1xsp01RMmkav9iTy39Zaj_7tE9677EGlOJ14KU9TZn7I/"",""1985-2003!H4728"")"),5.74940849999999)</f>
        <v>5.7494084999999897</v>
      </c>
      <c r="E234" s="99">
        <f ca="1">IFERROR(__xludf.DUMMYFUNCTION("$C228*IMPORTRANGE(""https://docs.google.com/spreadsheets/d/1xsp01RMmkav9iTy39Zaj_7tE9677EGlOJ14KU9TZn7I/"",""1985-2003!T4728"")"),3.522971625)</f>
        <v>3.5229716249999998</v>
      </c>
      <c r="F234" s="99">
        <f ca="1">IFERROR(__xludf.DUMMYFUNCTION("$C228*IMPORTRANGE(""https://docs.google.com/spreadsheets/d/1xsp01RMmkav9iTy39Zaj_7tE9677EGlOJ14KU9TZn7I/"",""1985-2003!AC4728"")"),663.846089999999)</f>
        <v>663.84608999999898</v>
      </c>
      <c r="G234" s="128" t="s">
        <v>8</v>
      </c>
      <c r="H234" s="76"/>
      <c r="I234" s="76"/>
      <c r="J234" s="76"/>
      <c r="K234" s="77"/>
      <c r="L234" s="78"/>
      <c r="M234" s="79"/>
      <c r="N234" s="79"/>
      <c r="O234" s="79"/>
      <c r="P234" s="79"/>
      <c r="Q234" s="77"/>
      <c r="R234" s="76"/>
      <c r="S234" s="76"/>
      <c r="T234" s="76"/>
      <c r="U234" s="76"/>
      <c r="V234" s="76"/>
      <c r="W234" s="76"/>
      <c r="X234" s="76"/>
      <c r="Y234" s="76"/>
      <c r="Z234" s="76"/>
      <c r="AA234" s="80"/>
      <c r="AB234" s="80"/>
      <c r="AC234" s="80"/>
    </row>
    <row r="235" spans="1:29" ht="13.2" x14ac:dyDescent="0.25">
      <c r="A235" s="137" t="s">
        <v>236</v>
      </c>
      <c r="B235" s="87">
        <v>117</v>
      </c>
      <c r="C235" s="88">
        <f>16994.4/1000</f>
        <v>16.994400000000002</v>
      </c>
      <c r="D235" s="96">
        <f ca="1">IFERROR(__xludf.DUMMYFUNCTION("$C229*IMPORTRANGE(""https://docs.google.com/spreadsheets/d/1xsp01RMmkav9iTy39Zaj_7tE9677EGlOJ14KU9TZn7I/"",""1985-2003!H4752"")"),18.50350272)</f>
        <v>18.50350272</v>
      </c>
      <c r="E235" s="96">
        <f ca="1">IFERROR(__xludf.DUMMYFUNCTION("$C229*IMPORTRANGE(""https://docs.google.com/spreadsheets/d/1xsp01RMmkav9iTy39Zaj_7tE9677EGlOJ14KU9TZn7I/"",""1985-2003!T4752"")"),11.64796176)</f>
        <v>11.647961759999999</v>
      </c>
      <c r="F235" s="96">
        <f ca="1">IFERROR(__xludf.DUMMYFUNCTION("$C229*IMPORTRANGE(""https://docs.google.com/spreadsheets/d/1xsp01RMmkav9iTy39Zaj_7tE9677EGlOJ14KU9TZn7I/"",""1985-2003!AC4752"")"),2158.628688)</f>
        <v>2158.6286879999998</v>
      </c>
      <c r="G235" s="126" t="s">
        <v>8</v>
      </c>
      <c r="H235" s="76"/>
      <c r="I235" s="76"/>
      <c r="J235" s="76"/>
      <c r="K235" s="77"/>
      <c r="L235" s="78"/>
      <c r="M235" s="79"/>
      <c r="N235" s="79"/>
      <c r="O235" s="79"/>
      <c r="P235" s="79"/>
      <c r="Q235" s="77"/>
      <c r="R235" s="76"/>
      <c r="S235" s="76"/>
      <c r="T235" s="76"/>
      <c r="U235" s="76"/>
      <c r="V235" s="76"/>
      <c r="W235" s="76"/>
      <c r="X235" s="76"/>
      <c r="Y235" s="76"/>
      <c r="Z235" s="76"/>
      <c r="AA235" s="80"/>
      <c r="AB235" s="80"/>
      <c r="AC235" s="80"/>
    </row>
    <row r="236" spans="1:29" ht="13.2" x14ac:dyDescent="0.25">
      <c r="A236" s="136" t="s">
        <v>237</v>
      </c>
      <c r="B236" s="97">
        <v>78</v>
      </c>
      <c r="C236" s="98">
        <f>8176.2/1000</f>
        <v>8.1761999999999997</v>
      </c>
      <c r="D236" s="99">
        <f ca="1">IFERROR(__xludf.DUMMYFUNCTION("$C230*IMPORTRANGE(""https://docs.google.com/spreadsheets/d/1xsp01RMmkav9iTy39Zaj_7tE9677EGlOJ14KU9TZn7I/"",""1985-2003!H4773"")"),8.62466457)</f>
        <v>8.6246645700000002</v>
      </c>
      <c r="E236" s="99">
        <f ca="1">IFERROR(__xludf.DUMMYFUNCTION("$C230*IMPORTRANGE(""https://docs.google.com/spreadsheets/d/1xsp01RMmkav9iTy39Zaj_7tE9677EGlOJ14KU9TZn7I/"",""1985-2003!T4773"")"),5.52997287)</f>
        <v>5.5299728699999999</v>
      </c>
      <c r="F236" s="99">
        <f ca="1">IFERROR(__xludf.DUMMYFUNCTION("$C230*IMPORTRANGE(""https://docs.google.com/spreadsheets/d/1xsp01RMmkav9iTy39Zaj_7tE9677EGlOJ14KU9TZn7I/"",""1985-2003!AC4773"")"),1014.66641999999)</f>
        <v>1014.66641999999</v>
      </c>
      <c r="G236" s="128" t="s">
        <v>8</v>
      </c>
      <c r="H236" s="76"/>
      <c r="I236" s="76"/>
      <c r="J236" s="76"/>
      <c r="K236" s="77"/>
      <c r="L236" s="78"/>
      <c r="M236" s="79"/>
      <c r="N236" s="79"/>
      <c r="O236" s="79"/>
      <c r="P236" s="79"/>
      <c r="Q236" s="77"/>
      <c r="R236" s="76"/>
      <c r="S236" s="76"/>
      <c r="T236" s="76"/>
      <c r="U236" s="76"/>
      <c r="V236" s="76"/>
      <c r="W236" s="76"/>
      <c r="X236" s="76"/>
      <c r="Y236" s="76"/>
      <c r="Z236" s="76"/>
      <c r="AA236" s="80"/>
      <c r="AB236" s="80"/>
      <c r="AC236" s="80"/>
    </row>
    <row r="237" spans="1:29" ht="13.2" x14ac:dyDescent="0.25">
      <c r="A237" s="137" t="s">
        <v>238</v>
      </c>
      <c r="B237" s="87">
        <v>113</v>
      </c>
      <c r="C237" s="88">
        <f>20638.8/1000</f>
        <v>20.6388</v>
      </c>
      <c r="D237" s="96">
        <f ca="1">IFERROR(__xludf.DUMMYFUNCTION("$C231*IMPORTRANGE(""https://docs.google.com/spreadsheets/d/1xsp01RMmkav9iTy39Zaj_7tE9677EGlOJ14KU9TZn7I/"",""1985-2003!H4797"")"),20.8245491999999)</f>
        <v>20.8245491999999</v>
      </c>
      <c r="E237" s="96">
        <f ca="1">IFERROR(__xludf.DUMMYFUNCTION("$C231*IMPORTRANGE(""https://docs.google.com/spreadsheets/d/1xsp01RMmkav9iTy39Zaj_7tE9677EGlOJ14KU9TZn7I/"",""1985-2003!T4797"")"),13.20264036)</f>
        <v>13.20264036</v>
      </c>
      <c r="F237" s="96">
        <f ca="1">IFERROR(__xludf.DUMMYFUNCTION("$C231*IMPORTRANGE(""https://docs.google.com/spreadsheets/d/1xsp01RMmkav9iTy39Zaj_7tE9677EGlOJ14KU9TZn7I/"",""1985-2003!AC4797"")"),2428.15482)</f>
        <v>2428.1548200000002</v>
      </c>
      <c r="G237" s="126" t="s">
        <v>8</v>
      </c>
      <c r="H237" s="76"/>
      <c r="I237" s="76"/>
      <c r="J237" s="76"/>
      <c r="K237" s="77"/>
      <c r="L237" s="78"/>
      <c r="M237" s="79"/>
      <c r="N237" s="79"/>
      <c r="O237" s="79"/>
      <c r="P237" s="79"/>
      <c r="Q237" s="77"/>
      <c r="R237" s="76"/>
      <c r="S237" s="76"/>
      <c r="T237" s="76"/>
      <c r="U237" s="76"/>
      <c r="V237" s="76"/>
      <c r="W237" s="76"/>
      <c r="X237" s="76"/>
      <c r="Y237" s="76"/>
      <c r="Z237" s="76"/>
      <c r="AA237" s="80"/>
      <c r="AB237" s="80"/>
      <c r="AC237" s="80"/>
    </row>
    <row r="238" spans="1:29" ht="13.2" x14ac:dyDescent="0.25">
      <c r="A238" s="136" t="s">
        <v>239</v>
      </c>
      <c r="B238" s="104">
        <v>94</v>
      </c>
      <c r="C238" s="98">
        <f>3636.4/1000</f>
        <v>3.6364000000000001</v>
      </c>
      <c r="D238" s="99">
        <f ca="1">IFERROR(__xludf.DUMMYFUNCTION("$C232*IMPORTRANGE(""https://docs.google.com/spreadsheets/d/1xsp01RMmkav9iTy39Zaj_7tE9677EGlOJ14KU9TZn7I/"",""1985-2003!H4820"")"),3.7136735)</f>
        <v>3.7136735000000001</v>
      </c>
      <c r="E238" s="99">
        <f ca="1">IFERROR(__xludf.DUMMYFUNCTION("$C232*IMPORTRANGE(""https://docs.google.com/spreadsheets/d/1xsp01RMmkav9iTy39Zaj_7tE9677EGlOJ14KU9TZn7I/"",""1985-2003!T4820"")"),2.3691146)</f>
        <v>2.3691146000000001</v>
      </c>
      <c r="F238" s="99">
        <f ca="1">IFERROR(__xludf.DUMMYFUNCTION("$C232*IMPORTRANGE(""https://docs.google.com/spreadsheets/d/1xsp01RMmkav9iTy39Zaj_7tE9677EGlOJ14KU9TZn7I/"",""1985-2003!AC4820"")"),432.313414)</f>
        <v>432.31341400000002</v>
      </c>
      <c r="G238" s="128" t="s">
        <v>8</v>
      </c>
      <c r="H238" s="76"/>
      <c r="I238" s="76"/>
      <c r="J238" s="76"/>
      <c r="K238" s="77"/>
      <c r="L238" s="78"/>
      <c r="M238" s="79"/>
      <c r="N238" s="79"/>
      <c r="O238" s="79"/>
      <c r="P238" s="79"/>
      <c r="Q238" s="77"/>
      <c r="R238" s="76"/>
      <c r="S238" s="76"/>
      <c r="T238" s="76"/>
      <c r="U238" s="76"/>
      <c r="V238" s="76"/>
      <c r="W238" s="76"/>
      <c r="X238" s="76"/>
      <c r="Y238" s="76"/>
      <c r="Z238" s="76"/>
      <c r="AA238" s="80"/>
      <c r="AB238" s="80"/>
      <c r="AC238" s="80"/>
    </row>
    <row r="239" spans="1:29" ht="13.2" x14ac:dyDescent="0.25">
      <c r="A239" s="137" t="s">
        <v>240</v>
      </c>
      <c r="B239" s="87">
        <v>76</v>
      </c>
      <c r="C239" s="88">
        <f>3449.1/1000</f>
        <v>3.4491000000000001</v>
      </c>
      <c r="D239" s="96">
        <f ca="1">IFERROR(__xludf.DUMMYFUNCTION("$C233*IMPORTRANGE(""https://docs.google.com/spreadsheets/d/1xsp01RMmkav9iTy39Zaj_7tE9677EGlOJ14KU9TZn7I/"",""1985-2003!H4842"")"),3.51670236)</f>
        <v>3.51670236</v>
      </c>
      <c r="E239" s="96">
        <f ca="1">IFERROR(__xludf.DUMMYFUNCTION("$C233*IMPORTRANGE(""https://docs.google.com/spreadsheets/d/1xsp01RMmkav9iTy39Zaj_7tE9677EGlOJ14KU9TZn7I/"",""1985-2003!T4842"")"),2.21501202)</f>
        <v>2.2150120200000001</v>
      </c>
      <c r="F239" s="96">
        <f ca="1">IFERROR(__xludf.DUMMYFUNCTION("$C233*IMPORTRANGE(""https://docs.google.com/spreadsheets/d/1xsp01RMmkav9iTy39Zaj_7tE9677EGlOJ14KU9TZn7I/"",""1985-2003!AC4842"")"),418.824213)</f>
        <v>418.82421299999999</v>
      </c>
      <c r="G239" s="126" t="s">
        <v>8</v>
      </c>
      <c r="H239" s="76"/>
      <c r="I239" s="76"/>
      <c r="J239" s="76"/>
      <c r="K239" s="77"/>
      <c r="L239" s="78"/>
      <c r="M239" s="79"/>
      <c r="N239" s="79"/>
      <c r="O239" s="79"/>
      <c r="P239" s="79"/>
      <c r="Q239" s="77"/>
      <c r="R239" s="76"/>
      <c r="S239" s="76"/>
      <c r="T239" s="76"/>
      <c r="U239" s="76"/>
      <c r="V239" s="76"/>
      <c r="W239" s="76"/>
      <c r="X239" s="76"/>
      <c r="Y239" s="76"/>
      <c r="Z239" s="76"/>
      <c r="AA239" s="80"/>
      <c r="AB239" s="80"/>
      <c r="AC239" s="80"/>
    </row>
    <row r="240" spans="1:29" ht="13.2" x14ac:dyDescent="0.25">
      <c r="A240" s="136" t="s">
        <v>241</v>
      </c>
      <c r="B240" s="97">
        <v>94</v>
      </c>
      <c r="C240" s="98">
        <f>4744.9/1000</f>
        <v>4.7448999999999995</v>
      </c>
      <c r="D240" s="99">
        <f ca="1">IFERROR(__xludf.DUMMYFUNCTION("$C234*IMPORTRANGE(""https://docs.google.com/spreadsheets/d/1xsp01RMmkav9iTy39Zaj_7tE9677EGlOJ14KU9TZn7I/"",""1985-2003!H4866"")"),4.82698676999999)</f>
        <v>4.8269867699999898</v>
      </c>
      <c r="E240" s="99">
        <f ca="1">IFERROR(__xludf.DUMMYFUNCTION("$C234*IMPORTRANGE(""https://docs.google.com/spreadsheets/d/1xsp01RMmkav9iTy39Zaj_7tE9677EGlOJ14KU9TZn7I/"",""1985-2003!T4866"")"),3.04670028999999)</f>
        <v>3.0467002899999902</v>
      </c>
      <c r="F240" s="99">
        <f ca="1">IFERROR(__xludf.DUMMYFUNCTION("$C234*IMPORTRANGE(""https://docs.google.com/spreadsheets/d/1xsp01RMmkav9iTy39Zaj_7tE9677EGlOJ14KU9TZn7I/"",""1985-2003!AC4866"")"),589.885967999999)</f>
        <v>589.88596799999902</v>
      </c>
      <c r="G240" s="128" t="s">
        <v>8</v>
      </c>
      <c r="H240" s="76"/>
      <c r="I240" s="76"/>
      <c r="J240" s="76"/>
      <c r="K240" s="77"/>
      <c r="L240" s="78"/>
      <c r="M240" s="79"/>
      <c r="N240" s="79"/>
      <c r="O240" s="79"/>
      <c r="P240" s="79"/>
      <c r="Q240" s="77"/>
      <c r="R240" s="76"/>
      <c r="S240" s="76"/>
      <c r="T240" s="76"/>
      <c r="U240" s="76"/>
      <c r="V240" s="76"/>
      <c r="W240" s="76"/>
      <c r="X240" s="76"/>
      <c r="Y240" s="76"/>
      <c r="Z240" s="76"/>
      <c r="AA240" s="80"/>
      <c r="AB240" s="80"/>
      <c r="AC240" s="80"/>
    </row>
    <row r="241" spans="1:29" ht="13.2" x14ac:dyDescent="0.25">
      <c r="A241" s="137" t="s">
        <v>242</v>
      </c>
      <c r="B241" s="87">
        <v>111</v>
      </c>
      <c r="C241" s="88">
        <f>3969.6/1000</f>
        <v>3.9695999999999998</v>
      </c>
      <c r="D241" s="96">
        <f ca="1">IFERROR(__xludf.DUMMYFUNCTION("$C235*IMPORTRANGE(""https://docs.google.com/spreadsheets/d/1xsp01RMmkav9iTy39Zaj_7tE9677EGlOJ14KU9TZn7I/"",""1985-2003!H4888"")"),3.96205775999999)</f>
        <v>3.9620577599999902</v>
      </c>
      <c r="E241" s="96">
        <f ca="1">IFERROR(__xludf.DUMMYFUNCTION("$C235*IMPORTRANGE(""https://docs.google.com/spreadsheets/d/1xsp01RMmkav9iTy39Zaj_7tE9677EGlOJ14KU9TZn7I/"",""1985-2003!T4888"")"),2.51355072)</f>
        <v>2.51355072</v>
      </c>
      <c r="F241" s="96">
        <f ca="1">IFERROR(__xludf.DUMMYFUNCTION("$C235*IMPORTRANGE(""https://docs.google.com/spreadsheets/d/1xsp01RMmkav9iTy39Zaj_7tE9677EGlOJ14KU9TZn7I/"",""1985-2003!AC4888"")"),483.814848)</f>
        <v>483.81484799999998</v>
      </c>
      <c r="G241" s="126" t="s">
        <v>8</v>
      </c>
      <c r="H241" s="76"/>
      <c r="I241" s="76"/>
      <c r="J241" s="76"/>
      <c r="K241" s="77"/>
      <c r="L241" s="78"/>
      <c r="M241" s="79"/>
      <c r="N241" s="79"/>
      <c r="O241" s="79"/>
      <c r="P241" s="79"/>
      <c r="Q241" s="77"/>
      <c r="R241" s="76"/>
      <c r="S241" s="76"/>
      <c r="T241" s="76"/>
      <c r="U241" s="76"/>
      <c r="V241" s="76"/>
      <c r="W241" s="76"/>
      <c r="X241" s="76"/>
      <c r="Y241" s="76"/>
      <c r="Z241" s="76"/>
      <c r="AA241" s="80"/>
      <c r="AB241" s="80"/>
      <c r="AC241" s="80"/>
    </row>
    <row r="242" spans="1:29" ht="13.2" x14ac:dyDescent="0.25">
      <c r="A242" s="138" t="s">
        <v>243</v>
      </c>
      <c r="B242" s="100">
        <v>126</v>
      </c>
      <c r="C242" s="101">
        <f>7719.1/1000</f>
        <v>7.7191000000000001</v>
      </c>
      <c r="D242" s="102">
        <f ca="1">IFERROR(__xludf.DUMMYFUNCTION("$C236*IMPORTRANGE(""https://docs.google.com/spreadsheets/d/1xsp01RMmkav9iTy39Zaj_7tE9677EGlOJ14KU9TZn7I/"",""1985-2003!H4911"")"),7.53075396)</f>
        <v>7.5307539600000002</v>
      </c>
      <c r="E242" s="102">
        <f ca="1">IFERROR(__xludf.DUMMYFUNCTION("$C236*IMPORTRANGE(""https://docs.google.com/spreadsheets/d/1xsp01RMmkav9iTy39Zaj_7tE9677EGlOJ14KU9TZn7I/"",""1985-2003!T4911"")"),4.847980755)</f>
        <v>4.847980755</v>
      </c>
      <c r="F242" s="102">
        <f ca="1">IFERROR(__xludf.DUMMYFUNCTION("$C236*IMPORTRANGE(""https://docs.google.com/spreadsheets/d/1xsp01RMmkav9iTy39Zaj_7tE9677EGlOJ14KU9TZn7I/"",""1985-2003!AC4911"")"),935.5163245)</f>
        <v>935.5163245</v>
      </c>
      <c r="G242" s="129" t="s">
        <v>8</v>
      </c>
      <c r="H242" s="76"/>
      <c r="I242" s="76"/>
      <c r="J242" s="76"/>
      <c r="K242" s="77"/>
      <c r="L242" s="78"/>
      <c r="M242" s="79"/>
      <c r="N242" s="79"/>
      <c r="O242" s="79"/>
      <c r="P242" s="79"/>
      <c r="Q242" s="77"/>
      <c r="R242" s="76"/>
      <c r="S242" s="76"/>
      <c r="T242" s="76"/>
      <c r="U242" s="76"/>
      <c r="V242" s="76"/>
      <c r="W242" s="76"/>
      <c r="X242" s="76"/>
      <c r="Y242" s="76"/>
      <c r="Z242" s="76"/>
      <c r="AA242" s="80"/>
      <c r="AB242" s="80"/>
      <c r="AC242" s="80"/>
    </row>
    <row r="243" spans="1:29" ht="13.2" x14ac:dyDescent="0.25">
      <c r="A243" s="120">
        <v>2003</v>
      </c>
      <c r="B243" s="121"/>
      <c r="C243" s="122"/>
      <c r="D243" s="122"/>
      <c r="E243" s="122"/>
      <c r="F243" s="122"/>
      <c r="G243" s="123"/>
      <c r="H243" s="80"/>
      <c r="I243" s="80"/>
      <c r="J243" s="80"/>
      <c r="K243" s="77"/>
      <c r="L243" s="78"/>
      <c r="M243" s="79"/>
      <c r="N243" s="79"/>
      <c r="O243" s="79"/>
      <c r="P243" s="79"/>
      <c r="Q243" s="77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</row>
    <row r="244" spans="1:29" ht="13.2" x14ac:dyDescent="0.25">
      <c r="A244" s="135" t="s">
        <v>244</v>
      </c>
      <c r="B244" s="105">
        <v>93</v>
      </c>
      <c r="C244" s="85">
        <f>7270.3/1000</f>
        <v>7.2702999999999998</v>
      </c>
      <c r="D244" s="95">
        <f ca="1">IFERROR(__xludf.DUMMYFUNCTION("$C238*IMPORTRANGE(""https://docs.google.com/spreadsheets/d/1xsp01RMmkav9iTy39Zaj_7tE9677EGlOJ14KU9TZn7I/"",""1985-2003!H4936"")"),6.83117388)</f>
        <v>6.8311738799999997</v>
      </c>
      <c r="E244" s="95">
        <f ca="1">IFERROR(__xludf.DUMMYFUNCTION("$C238*IMPORTRANGE(""https://docs.google.com/spreadsheets/d/1xsp01RMmkav9iTy39Zaj_7tE9677EGlOJ14KU9TZn7I/"",""1985-2003!T4936"")"),4.49449946)</f>
        <v>4.4944994600000001</v>
      </c>
      <c r="F244" s="95">
        <f ca="1">IFERROR(__xludf.DUMMYFUNCTION("$C238*IMPORTRANGE(""https://docs.google.com/spreadsheets/d/1xsp01RMmkav9iTy39Zaj_7tE9677EGlOJ14KU9TZn7I/"",""1985-2003!AC4936"")"),862.839204)</f>
        <v>862.839204</v>
      </c>
      <c r="G244" s="124" t="s">
        <v>8</v>
      </c>
      <c r="H244" s="80"/>
      <c r="I244" s="80"/>
      <c r="J244" s="80"/>
      <c r="K244" s="77"/>
      <c r="L244" s="78"/>
      <c r="M244" s="79"/>
      <c r="N244" s="79"/>
      <c r="O244" s="79"/>
      <c r="P244" s="79"/>
      <c r="Q244" s="77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</row>
    <row r="245" spans="1:29" ht="13.2" x14ac:dyDescent="0.25">
      <c r="A245" s="136" t="s">
        <v>245</v>
      </c>
      <c r="B245" s="107">
        <v>75</v>
      </c>
      <c r="C245" s="98">
        <f>21065.5/1000</f>
        <v>21.0655</v>
      </c>
      <c r="D245" s="99">
        <f ca="1">IFERROR(__xludf.DUMMYFUNCTION("$C239*IMPORTRANGE(""https://docs.google.com/spreadsheets/d/1xsp01RMmkav9iTy39Zaj_7tE9677EGlOJ14KU9TZn7I/"",""1985-2003!H4957"")"),19.5361447)</f>
        <v>19.536144700000001</v>
      </c>
      <c r="E245" s="99">
        <f ca="1">IFERROR(__xludf.DUMMYFUNCTION("$C239*IMPORTRANGE(""https://docs.google.com/spreadsheets/d/1xsp01RMmkav9iTy39Zaj_7tE9677EGlOJ14KU9TZn7I/"",""1985-2003!T4957"")"),13.0226920999999)</f>
        <v>13.022692099999899</v>
      </c>
      <c r="F245" s="99">
        <f ca="1">IFERROR(__xludf.DUMMYFUNCTION("$C239*IMPORTRANGE(""https://docs.google.com/spreadsheets/d/1xsp01RMmkav9iTy39Zaj_7tE9677EGlOJ14KU9TZn7I/"",""1985-2003!AC4957"")"),2523.9628825)</f>
        <v>2523.9628825</v>
      </c>
      <c r="G245" s="128" t="s">
        <v>8</v>
      </c>
      <c r="H245" s="80"/>
      <c r="I245" s="80"/>
      <c r="J245" s="80"/>
      <c r="K245" s="77"/>
      <c r="L245" s="78"/>
      <c r="M245" s="79"/>
      <c r="N245" s="79"/>
      <c r="O245" s="79"/>
      <c r="P245" s="79"/>
      <c r="Q245" s="77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</row>
    <row r="246" spans="1:29" ht="13.2" x14ac:dyDescent="0.25">
      <c r="A246" s="137" t="s">
        <v>246</v>
      </c>
      <c r="B246" s="106">
        <v>90</v>
      </c>
      <c r="C246" s="88">
        <f>9184.6/1000</f>
        <v>9.1845999999999997</v>
      </c>
      <c r="D246" s="96">
        <f ca="1">IFERROR(__xludf.DUMMYFUNCTION("$C240*IMPORTRANGE(""https://docs.google.com/spreadsheets/d/1xsp01RMmkav9iTy39Zaj_7tE9677EGlOJ14KU9TZn7I/"",""1985-2003!H4979"")"),8.51779803999999)</f>
        <v>8.51779803999999</v>
      </c>
      <c r="E246" s="96">
        <f ca="1">IFERROR(__xludf.DUMMYFUNCTION("$C240*IMPORTRANGE(""https://docs.google.com/spreadsheets/d/1xsp01RMmkav9iTy39Zaj_7tE9677EGlOJ14KU9TZn7I/"",""1985-2003!T4979"")"),5.79823798)</f>
        <v>5.7982379799999997</v>
      </c>
      <c r="F246" s="96">
        <f ca="1">IFERROR(__xludf.DUMMYFUNCTION("$C240*IMPORTRANGE(""https://docs.google.com/spreadsheets/d/1xsp01RMmkav9iTy39Zaj_7tE9677EGlOJ14KU9TZn7I/"",""1985-2003!AC4979"")"),1088.926176)</f>
        <v>1088.9261759999999</v>
      </c>
      <c r="G246" s="126" t="s">
        <v>8</v>
      </c>
      <c r="H246" s="80"/>
      <c r="I246" s="80"/>
      <c r="J246" s="80"/>
      <c r="K246" s="77"/>
      <c r="L246" s="78"/>
      <c r="M246" s="79"/>
      <c r="N246" s="79"/>
      <c r="O246" s="79"/>
      <c r="P246" s="79"/>
      <c r="Q246" s="77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</row>
    <row r="247" spans="1:29" ht="13.2" x14ac:dyDescent="0.25">
      <c r="A247" s="136" t="s">
        <v>247</v>
      </c>
      <c r="B247" s="107">
        <v>105</v>
      </c>
      <c r="C247" s="98">
        <f>15686.8/1000</f>
        <v>15.6868</v>
      </c>
      <c r="D247" s="99">
        <f ca="1">IFERROR(__xludf.DUMMYFUNCTION("$C241*IMPORTRANGE(""https://docs.google.com/spreadsheets/d/1xsp01RMmkav9iTy39Zaj_7tE9677EGlOJ14KU9TZn7I/"",""1985-2003!H5002"")"),14.4279342999999)</f>
        <v>14.427934299999899</v>
      </c>
      <c r="E247" s="99">
        <f ca="1">IFERROR(__xludf.DUMMYFUNCTION("$C241*IMPORTRANGE(""https://docs.google.com/spreadsheets/d/1xsp01RMmkav9iTy39Zaj_7tE9677EGlOJ14KU9TZn7I/"",""1985-2003!T5002"")"),9.9336661)</f>
        <v>9.9336660999999999</v>
      </c>
      <c r="F247" s="99">
        <f ca="1">IFERROR(__xludf.DUMMYFUNCTION("$C241*IMPORTRANGE(""https://docs.google.com/spreadsheets/d/1xsp01RMmkav9iTy39Zaj_7tE9677EGlOJ14KU9TZn7I/"",""1985-2003!AC5002"")"),1880.925754)</f>
        <v>1880.9257540000001</v>
      </c>
      <c r="G247" s="128" t="s">
        <v>8</v>
      </c>
      <c r="H247" s="80"/>
      <c r="I247" s="80"/>
      <c r="J247" s="80"/>
      <c r="K247" s="77"/>
      <c r="L247" s="78"/>
      <c r="M247" s="79"/>
      <c r="N247" s="79"/>
      <c r="O247" s="79"/>
      <c r="P247" s="79"/>
      <c r="Q247" s="77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</row>
    <row r="248" spans="1:29" ht="13.2" x14ac:dyDescent="0.25">
      <c r="A248" s="137" t="s">
        <v>248</v>
      </c>
      <c r="B248" s="106">
        <v>73</v>
      </c>
      <c r="C248" s="88">
        <f>14030.9/1000</f>
        <v>14.030899999999999</v>
      </c>
      <c r="D248" s="96">
        <f ca="1">IFERROR(__xludf.DUMMYFUNCTION("$C242*IMPORTRANGE(""https://docs.google.com/spreadsheets/d/1xsp01RMmkav9iTy39Zaj_7tE9677EGlOJ14KU9TZn7I/"",""1985-2003!H5025"")"),12.116383695)</f>
        <v>12.116383695</v>
      </c>
      <c r="E248" s="96">
        <f ca="1">IFERROR(__xludf.DUMMYFUNCTION("$C242*IMPORTRANGE(""https://docs.google.com/spreadsheets/d/1xsp01RMmkav9iTy39Zaj_7tE9677EGlOJ14KU9TZn7I/"",""1985-2003!T5025"")"),8.61216642)</f>
        <v>8.6121664199999994</v>
      </c>
      <c r="F248" s="96">
        <f ca="1">IFERROR(__xludf.DUMMYFUNCTION("$C242*IMPORTRANGE(""https://docs.google.com/spreadsheets/d/1xsp01RMmkav9iTy39Zaj_7tE9677EGlOJ14KU9TZn7I/"",""1985-2003!AC5025"")"),1643.79008949999)</f>
        <v>1643.79008949999</v>
      </c>
      <c r="G248" s="126" t="s">
        <v>8</v>
      </c>
      <c r="H248" s="80"/>
      <c r="I248" s="80"/>
      <c r="J248" s="80"/>
      <c r="K248" s="77"/>
      <c r="L248" s="78"/>
      <c r="M248" s="79"/>
      <c r="N248" s="79"/>
      <c r="O248" s="79"/>
      <c r="P248" s="79"/>
      <c r="Q248" s="77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</row>
    <row r="249" spans="1:29" ht="13.2" x14ac:dyDescent="0.25">
      <c r="A249" s="136" t="s">
        <v>249</v>
      </c>
      <c r="B249" s="107">
        <v>97</v>
      </c>
      <c r="C249" s="98">
        <f>8233.2/1000</f>
        <v>8.2332000000000001</v>
      </c>
      <c r="D249" s="99">
        <f ca="1">IFERROR(__xludf.DUMMYFUNCTION("$C243*IMPORTRANGE(""https://docs.google.com/spreadsheets/d/1xsp01RMmkav9iTy39Zaj_7tE9677EGlOJ14KU9TZn7I/"",""1985-2003!H5047"")"),7.03691604)</f>
        <v>7.0369160400000004</v>
      </c>
      <c r="E249" s="99">
        <f ca="1">IFERROR(__xludf.DUMMYFUNCTION("$C243*IMPORTRANGE(""https://docs.google.com/spreadsheets/d/1xsp01RMmkav9iTy39Zaj_7tE9677EGlOJ14KU9TZn7I/"",""1985-2003!T5047"")"),4.92592356)</f>
        <v>4.9259235600000002</v>
      </c>
      <c r="F249" s="99">
        <f ca="1">IFERROR(__xludf.DUMMYFUNCTION("$C243*IMPORTRANGE(""https://docs.google.com/spreadsheets/d/1xsp01RMmkav9iTy39Zaj_7tE9677EGlOJ14KU9TZn7I/"",""1985-2003!AC5047"")"),972.75258)</f>
        <v>972.75257999999997</v>
      </c>
      <c r="G249" s="128" t="s">
        <v>8</v>
      </c>
      <c r="H249" s="80"/>
      <c r="I249" s="80"/>
      <c r="J249" s="80"/>
      <c r="K249" s="77"/>
      <c r="L249" s="78"/>
      <c r="M249" s="79"/>
      <c r="N249" s="79"/>
      <c r="O249" s="79"/>
      <c r="P249" s="79"/>
      <c r="Q249" s="77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</row>
    <row r="250" spans="1:29" ht="13.2" x14ac:dyDescent="0.25">
      <c r="A250" s="137" t="s">
        <v>250</v>
      </c>
      <c r="B250" s="106">
        <v>111</v>
      </c>
      <c r="C250" s="88">
        <f>7817.3/1000</f>
        <v>7.8173000000000004</v>
      </c>
      <c r="D250" s="96">
        <f ca="1">IFERROR(__xludf.DUMMYFUNCTION("$C244*IMPORTRANGE(""https://docs.google.com/spreadsheets/d/1xsp01RMmkav9iTy39Zaj_7tE9677EGlOJ14KU9TZn7I/"",""1985-2003!H5071"")"),6.88782303)</f>
        <v>6.8878230299999998</v>
      </c>
      <c r="E250" s="96">
        <f ca="1">IFERROR(__xludf.DUMMYFUNCTION("$C244*IMPORTRANGE(""https://docs.google.com/spreadsheets/d/1xsp01RMmkav9iTy39Zaj_7tE9677EGlOJ14KU9TZn7I/"",""1985-2003!T5071"")"),4.79591355)</f>
        <v>4.7959135499999999</v>
      </c>
      <c r="F250" s="96">
        <f ca="1">IFERROR(__xludf.DUMMYFUNCTION("$C244*IMPORTRANGE(""https://docs.google.com/spreadsheets/d/1xsp01RMmkav9iTy39Zaj_7tE9677EGlOJ14KU9TZn7I/"",""1985-2003!AC5071"")"),926.35005)</f>
        <v>926.35005000000001</v>
      </c>
      <c r="G250" s="126" t="s">
        <v>8</v>
      </c>
      <c r="H250" s="80"/>
      <c r="I250" s="80"/>
      <c r="J250" s="80"/>
      <c r="K250" s="77"/>
      <c r="L250" s="78"/>
      <c r="M250" s="79"/>
      <c r="N250" s="79"/>
      <c r="O250" s="79"/>
      <c r="P250" s="79"/>
      <c r="Q250" s="77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</row>
    <row r="251" spans="1:29" ht="13.2" x14ac:dyDescent="0.25">
      <c r="A251" s="136" t="s">
        <v>251</v>
      </c>
      <c r="B251" s="104">
        <v>82</v>
      </c>
      <c r="C251" s="98">
        <f>3014.8/1000</f>
        <v>3.0148000000000001</v>
      </c>
      <c r="D251" s="99">
        <f ca="1">IFERROR(__xludf.DUMMYFUNCTION("$C245*IMPORTRANGE(""https://docs.google.com/spreadsheets/d/1xsp01RMmkav9iTy39Zaj_7tE9677EGlOJ14KU9TZn7I/"",""1985-2003!H5093"")"),2.67744388)</f>
        <v>2.6774438800000002</v>
      </c>
      <c r="E251" s="99">
        <f ca="1">IFERROR(__xludf.DUMMYFUNCTION("$C245*IMPORTRANGE(""https://docs.google.com/spreadsheets/d/1xsp01RMmkav9iTy39Zaj_7tE9677EGlOJ14KU9TZn7I/"",""1985-2003!T5093"")"),1.87912484)</f>
        <v>1.87912484</v>
      </c>
      <c r="F251" s="99">
        <f ca="1">IFERROR(__xludf.DUMMYFUNCTION("$C245*IMPORTRANGE(""https://docs.google.com/spreadsheets/d/1xsp01RMmkav9iTy39Zaj_7tE9677EGlOJ14KU9TZn7I/"",""1985-2003!AC5093"")"),357.947204)</f>
        <v>357.947204</v>
      </c>
      <c r="G251" s="128" t="s">
        <v>8</v>
      </c>
      <c r="H251" s="80"/>
      <c r="I251" s="80"/>
      <c r="J251" s="80"/>
      <c r="K251" s="77"/>
      <c r="L251" s="78"/>
      <c r="M251" s="79"/>
      <c r="N251" s="79"/>
      <c r="O251" s="79"/>
      <c r="P251" s="79"/>
      <c r="Q251" s="77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</row>
    <row r="252" spans="1:29" ht="13.2" x14ac:dyDescent="0.25">
      <c r="A252" s="137" t="s">
        <v>252</v>
      </c>
      <c r="B252" s="106">
        <v>88</v>
      </c>
      <c r="C252" s="88">
        <f>12202.1/1000</f>
        <v>12.2021</v>
      </c>
      <c r="D252" s="96">
        <f ca="1">IFERROR(__xludf.DUMMYFUNCTION("$C246*IMPORTRANGE(""https://docs.google.com/spreadsheets/d/1xsp01RMmkav9iTy39Zaj_7tE9677EGlOJ14KU9TZn7I/"",""1985-2003!H5116"")"),10.8305839599999)</f>
        <v>10.830583959999901</v>
      </c>
      <c r="E252" s="96">
        <f ca="1">IFERROR(__xludf.DUMMYFUNCTION("$C246*IMPORTRANGE(""https://docs.google.com/spreadsheets/d/1xsp01RMmkav9iTy39Zaj_7tE9677EGlOJ14KU9TZn7I/"",""1985-2003!T5116"")"),7.590316305)</f>
        <v>7.590316305</v>
      </c>
      <c r="F252" s="96">
        <f ca="1">IFERROR(__xludf.DUMMYFUNCTION("$C246*IMPORTRANGE(""https://docs.google.com/spreadsheets/d/1xsp01RMmkav9iTy39Zaj_7tE9677EGlOJ14KU9TZn7I/"",""1985-2003!AC5116"")"),1416.907852)</f>
        <v>1416.907852</v>
      </c>
      <c r="G252" s="126" t="s">
        <v>8</v>
      </c>
      <c r="H252" s="80"/>
      <c r="I252" s="80"/>
      <c r="J252" s="80"/>
      <c r="K252" s="77"/>
      <c r="L252" s="78"/>
      <c r="M252" s="79"/>
      <c r="N252" s="79"/>
      <c r="O252" s="79"/>
      <c r="P252" s="79"/>
      <c r="Q252" s="77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</row>
    <row r="253" spans="1:29" ht="13.2" x14ac:dyDescent="0.25">
      <c r="A253" s="136" t="s">
        <v>253</v>
      </c>
      <c r="B253" s="107">
        <v>110</v>
      </c>
      <c r="C253" s="98">
        <f>5077.6/1000</f>
        <v>5.0776000000000003</v>
      </c>
      <c r="D253" s="99">
        <f ca="1">IFERROR(__xludf.DUMMYFUNCTION("$C247*IMPORTRANGE(""https://docs.google.com/spreadsheets/d/1xsp01RMmkav9iTy39Zaj_7tE9677EGlOJ14KU9TZn7I/"",""1985-2003!H5140"")"),4.33525488)</f>
        <v>4.3352548799999999</v>
      </c>
      <c r="E253" s="99">
        <f ca="1">IFERROR(__xludf.DUMMYFUNCTION("$C247*IMPORTRANGE(""https://docs.google.com/spreadsheets/d/1xsp01RMmkav9iTy39Zaj_7tE9677EGlOJ14KU9TZn7I/"",""1985-2003!T5140"")"),3.02523408)</f>
        <v>3.0252340800000002</v>
      </c>
      <c r="F253" s="99">
        <f ca="1">IFERROR(__xludf.DUMMYFUNCTION("$C247*IMPORTRANGE(""https://docs.google.com/spreadsheets/d/1xsp01RMmkav9iTy39Zaj_7tE9677EGlOJ14KU9TZn7I/"",""1985-2003!AC5140"")"),555.844872)</f>
        <v>555.84487200000001</v>
      </c>
      <c r="G253" s="128" t="s">
        <v>8</v>
      </c>
      <c r="H253" s="80"/>
      <c r="I253" s="80"/>
      <c r="J253" s="80"/>
      <c r="K253" s="77"/>
      <c r="L253" s="78"/>
      <c r="M253" s="79"/>
      <c r="N253" s="79"/>
      <c r="O253" s="79"/>
      <c r="P253" s="79"/>
      <c r="Q253" s="77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</row>
    <row r="254" spans="1:29" ht="13.2" x14ac:dyDescent="0.25">
      <c r="A254" s="137" t="s">
        <v>254</v>
      </c>
      <c r="B254" s="106">
        <v>103</v>
      </c>
      <c r="C254" s="88">
        <f>13922.4/1000</f>
        <v>13.9224</v>
      </c>
      <c r="D254" s="96">
        <f ca="1">IFERROR(__xludf.DUMMYFUNCTION("$C248*IMPORTRANGE(""https://docs.google.com/spreadsheets/d/1xsp01RMmkav9iTy39Zaj_7tE9677EGlOJ14KU9TZn7I/"",""1985-2003!H5161"")"),11.8416973199999)</f>
        <v>11.8416973199999</v>
      </c>
      <c r="E254" s="96">
        <f ca="1">IFERROR(__xludf.DUMMYFUNCTION("$C248*IMPORTRANGE(""https://docs.google.com/spreadsheets/d/1xsp01RMmkav9iTy39Zaj_7tE9677EGlOJ14KU9TZn7I/"",""1985-2003!T5161"")"),8.20655868)</f>
        <v>8.2065586800000005</v>
      </c>
      <c r="F254" s="96">
        <f ca="1">IFERROR(__xludf.DUMMYFUNCTION("$C248*IMPORTRANGE(""https://docs.google.com/spreadsheets/d/1xsp01RMmkav9iTy39Zaj_7tE9677EGlOJ14KU9TZn7I/"",""1985-2003!AC5161"")"),1518.58578)</f>
        <v>1518.5857800000001</v>
      </c>
      <c r="G254" s="126" t="s">
        <v>8</v>
      </c>
      <c r="H254" s="80"/>
      <c r="I254" s="80"/>
      <c r="J254" s="80"/>
      <c r="K254" s="77"/>
      <c r="L254" s="78"/>
      <c r="M254" s="79"/>
      <c r="N254" s="79"/>
      <c r="O254" s="79"/>
      <c r="P254" s="79"/>
      <c r="Q254" s="77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</row>
    <row r="255" spans="1:29" ht="13.2" x14ac:dyDescent="0.25">
      <c r="A255" s="138" t="s">
        <v>255</v>
      </c>
      <c r="B255" s="108">
        <v>183</v>
      </c>
      <c r="C255" s="101">
        <f>12799.8/1000</f>
        <v>12.799799999999999</v>
      </c>
      <c r="D255" s="102">
        <f ca="1">IFERROR(__xludf.DUMMYFUNCTION("$C249*IMPORTRANGE(""https://docs.google.com/spreadsheets/d/1xsp01RMmkav9iTy39Zaj_7tE9677EGlOJ14KU9TZn7I/"",""1985-2003!H5185"")"),10.38831768)</f>
        <v>10.38831768</v>
      </c>
      <c r="E255" s="102">
        <f ca="1">IFERROR(__xludf.DUMMYFUNCTION("$C249*IMPORTRANGE(""https://docs.google.com/spreadsheets/d/1xsp01RMmkav9iTy39Zaj_7tE9677EGlOJ14KU9TZn7I/"",""1985-2003!H5185"")"),10.38831768)</f>
        <v>10.38831768</v>
      </c>
      <c r="F255" s="102">
        <f ca="1">IFERROR(__xludf.DUMMYFUNCTION("$C249*IMPORTRANGE(""https://docs.google.com/spreadsheets/d/1xsp01RMmkav9iTy39Zaj_7tE9677EGlOJ14KU9TZn7I/"",""1985-2003!H5185"")"),10.38831768)</f>
        <v>10.38831768</v>
      </c>
      <c r="G255" s="129" t="s">
        <v>8</v>
      </c>
      <c r="H255" s="80"/>
      <c r="I255" s="80"/>
      <c r="J255" s="80"/>
      <c r="K255" s="77"/>
      <c r="L255" s="78"/>
      <c r="M255" s="79"/>
      <c r="N255" s="79"/>
      <c r="O255" s="79"/>
      <c r="P255" s="79"/>
      <c r="Q255" s="77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</row>
    <row r="256" spans="1:29" ht="13.2" x14ac:dyDescent="0.25">
      <c r="A256" s="120">
        <v>2004</v>
      </c>
      <c r="B256" s="121"/>
      <c r="C256" s="139"/>
      <c r="D256" s="139"/>
      <c r="E256" s="139"/>
      <c r="F256" s="139"/>
      <c r="G256" s="123"/>
      <c r="H256" s="80"/>
      <c r="I256" s="80"/>
      <c r="J256" s="80"/>
      <c r="K256" s="77"/>
      <c r="L256" s="78"/>
      <c r="M256" s="79"/>
      <c r="N256" s="79"/>
      <c r="O256" s="79"/>
      <c r="P256" s="79"/>
      <c r="Q256" s="77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</row>
    <row r="257" spans="1:29" ht="13.2" x14ac:dyDescent="0.25">
      <c r="A257" s="135" t="s">
        <v>256</v>
      </c>
      <c r="B257" s="105">
        <v>90</v>
      </c>
      <c r="C257" s="85">
        <f>6719.4/1000</f>
        <v>6.7193999999999994</v>
      </c>
      <c r="D257" s="95">
        <f ca="1">IFERROR(__xludf.DUMMYFUNCTION("$C251*IMPORTRANGE(""https://docs.google.com/spreadsheets/d/1xsp01RMmkav9iTy39Zaj_7tE9677EGlOJ14KU9TZn7I/"",""2004-2017!H24"")"),5.32485572399999)</f>
        <v>5.3248557239999901</v>
      </c>
      <c r="E257" s="95">
        <f ca="1">IFERROR(__xludf.DUMMYFUNCTION("$C251*IMPORTRANGE(""https://docs.google.com/spreadsheets/d/1xsp01RMmkav9iTy39Zaj_7tE9677EGlOJ14KU9TZn7I/"",""2004-2017!T24"")"),3.68542291499999)</f>
        <v>3.68542291499999</v>
      </c>
      <c r="F257" s="95">
        <f ca="1">IFERROR(__xludf.DUMMYFUNCTION("$C251*IMPORTRANGE(""https://docs.google.com/spreadsheets/d/1xsp01RMmkav9iTy39Zaj_7tE9677EGlOJ14KU9TZn7I/"",""2004-2017!AC24"")"),713.969830201499)</f>
        <v>713.96983020149901</v>
      </c>
      <c r="G257" s="124" t="s">
        <v>8</v>
      </c>
      <c r="H257" s="80"/>
      <c r="I257" s="80"/>
      <c r="J257" s="80"/>
      <c r="K257" s="77"/>
      <c r="L257" s="78"/>
      <c r="M257" s="79"/>
      <c r="N257" s="79"/>
      <c r="O257" s="79"/>
      <c r="P257" s="79"/>
      <c r="Q257" s="77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</row>
    <row r="258" spans="1:29" ht="13.2" x14ac:dyDescent="0.25">
      <c r="A258" s="136" t="s">
        <v>257</v>
      </c>
      <c r="B258" s="107">
        <v>88</v>
      </c>
      <c r="C258" s="98">
        <f>3241.6/1000</f>
        <v>3.2416</v>
      </c>
      <c r="D258" s="99">
        <f ca="1">IFERROR(__xludf.DUMMYFUNCTION("$C252*IMPORTRANGE(""https://docs.google.com/spreadsheets/d/1xsp01RMmkav9iTy39Zaj_7tE9677EGlOJ14KU9TZn7I/"",""2004-2017!H45"")"),2.55616368)</f>
        <v>2.55616368</v>
      </c>
      <c r="E258" s="99">
        <f ca="1">IFERROR(__xludf.DUMMYFUNCTION("$C252*IMPORTRANGE(""https://docs.google.com/spreadsheets/d/1xsp01RMmkav9iTy39Zaj_7tE9677EGlOJ14KU9TZn7I/"",""2004-2017!T45"")"),1.734450496)</f>
        <v>1.734450496</v>
      </c>
      <c r="F258" s="99">
        <f ca="1">IFERROR(__xludf.DUMMYFUNCTION("$C252*IMPORTRANGE(""https://docs.google.com/spreadsheets/d/1xsp01RMmkav9iTy39Zaj_7tE9677EGlOJ14KU9TZn7I/"",""2004-2017!AC45"")"),342.394)</f>
        <v>342.39400000000001</v>
      </c>
      <c r="G258" s="128" t="s">
        <v>8</v>
      </c>
      <c r="H258" s="80"/>
      <c r="I258" s="80"/>
      <c r="J258" s="80"/>
      <c r="K258" s="77"/>
      <c r="L258" s="78"/>
      <c r="M258" s="79"/>
      <c r="N258" s="79"/>
      <c r="O258" s="79"/>
      <c r="P258" s="79"/>
      <c r="Q258" s="77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</row>
    <row r="259" spans="1:29" ht="13.2" x14ac:dyDescent="0.25">
      <c r="A259" s="137" t="s">
        <v>258</v>
      </c>
      <c r="B259" s="106">
        <v>109</v>
      </c>
      <c r="C259" s="88">
        <f>9170.7/1000</f>
        <v>9.1707000000000001</v>
      </c>
      <c r="D259" s="96">
        <f ca="1">IFERROR(__xludf.DUMMYFUNCTION("$C253*IMPORTRANGE(""https://docs.google.com/spreadsheets/d/1xsp01RMmkav9iTy39Zaj_7tE9677EGlOJ14KU9TZn7I/"",""2004-2017!H69"")"),7.479531213)</f>
        <v>7.4795312129999996</v>
      </c>
      <c r="E259" s="96">
        <f ca="1">IFERROR(__xludf.DUMMYFUNCTION("$C253*IMPORTRANGE(""https://docs.google.com/spreadsheets/d/1xsp01RMmkav9iTy39Zaj_7tE9677EGlOJ14KU9TZn7I/"",""2004-2017!T69"")"),5.022058734)</f>
        <v>5.0220587339999998</v>
      </c>
      <c r="F259" s="96">
        <f ca="1">IFERROR(__xludf.DUMMYFUNCTION("$C253*IMPORTRANGE(""https://docs.google.com/spreadsheets/d/1xsp01RMmkav9iTy39Zaj_7tE9677EGlOJ14KU9TZn7I/"",""2004-2017!AC69"")"),996.9467878293)</f>
        <v>996.94678782929998</v>
      </c>
      <c r="G259" s="126" t="s">
        <v>8</v>
      </c>
      <c r="H259" s="80"/>
      <c r="I259" s="80"/>
      <c r="J259" s="80"/>
      <c r="K259" s="77"/>
      <c r="L259" s="78"/>
      <c r="M259" s="79"/>
      <c r="N259" s="79"/>
      <c r="O259" s="79"/>
      <c r="P259" s="79"/>
      <c r="Q259" s="77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</row>
    <row r="260" spans="1:29" ht="13.2" x14ac:dyDescent="0.25">
      <c r="A260" s="136" t="s">
        <v>259</v>
      </c>
      <c r="B260" s="107">
        <v>106</v>
      </c>
      <c r="C260" s="98">
        <f>6695.2/1000</f>
        <v>6.6951999999999998</v>
      </c>
      <c r="D260" s="99">
        <f ca="1">IFERROR(__xludf.DUMMYFUNCTION("$C254*IMPORTRANGE(""https://docs.google.com/spreadsheets/d/1xsp01RMmkav9iTy39Zaj_7tE9677EGlOJ14KU9TZn7I/"",""2004-2017!H92"")"),5.586340976)</f>
        <v>5.5863409759999998</v>
      </c>
      <c r="E260" s="99">
        <f ca="1">IFERROR(__xludf.DUMMYFUNCTION("$C254*IMPORTRANGE(""https://docs.google.com/spreadsheets/d/1xsp01RMmkav9iTy39Zaj_7tE9677EGlOJ14KU9TZn7I/"",""2004-2017!T92"")"),3.731804052)</f>
        <v>3.7318040520000002</v>
      </c>
      <c r="F260" s="99">
        <f ca="1">IFERROR(__xludf.DUMMYFUNCTION("$C254*IMPORTRANGE(""https://docs.google.com/spreadsheets/d/1xsp01RMmkav9iTy39Zaj_7tE9677EGlOJ14KU9TZn7I/"",""2004-2017!AC92"")"),725.0901533048)</f>
        <v>725.09015330479997</v>
      </c>
      <c r="G260" s="128" t="s">
        <v>8</v>
      </c>
      <c r="H260" s="80"/>
      <c r="I260" s="80"/>
      <c r="J260" s="80"/>
      <c r="K260" s="77"/>
      <c r="L260" s="78"/>
      <c r="M260" s="79"/>
      <c r="N260" s="79"/>
      <c r="O260" s="79"/>
      <c r="P260" s="79"/>
      <c r="Q260" s="77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</row>
    <row r="261" spans="1:29" ht="13.2" x14ac:dyDescent="0.25">
      <c r="A261" s="137" t="s">
        <v>260</v>
      </c>
      <c r="B261" s="106">
        <v>109</v>
      </c>
      <c r="C261" s="88">
        <f>11107.7/1000</f>
        <v>11.107700000000001</v>
      </c>
      <c r="D261" s="96">
        <f ca="1">IFERROR(__xludf.DUMMYFUNCTION("$C255*IMPORTRANGE(""https://docs.google.com/spreadsheets/d/1xsp01RMmkav9iTy39Zaj_7tE9677EGlOJ14KU9TZn7I/"",""2004-2017!H114"")"),9.253380562)</f>
        <v>9.2533805620000003</v>
      </c>
      <c r="E261" s="96">
        <f ca="1">IFERROR(__xludf.DUMMYFUNCTION("$C255*IMPORTRANGE(""https://docs.google.com/spreadsheets/d/1xsp01RMmkav9iTy39Zaj_7tE9677EGlOJ14KU9TZn7I/"",""2004-2017!T114"")"),6.208204607)</f>
        <v>6.2082046069999999</v>
      </c>
      <c r="F261" s="96">
        <f ca="1">IFERROR(__xludf.DUMMYFUNCTION("$C255*IMPORTRANGE(""https://docs.google.com/spreadsheets/d/1xsp01RMmkav9iTy39Zaj_7tE9677EGlOJ14KU9TZn7I/"",""2004-2017!AC114"")"),1247.8389735692)</f>
        <v>1247.8389735692001</v>
      </c>
      <c r="G261" s="126" t="s">
        <v>8</v>
      </c>
      <c r="H261" s="80"/>
      <c r="I261" s="80"/>
      <c r="J261" s="80"/>
      <c r="K261" s="77"/>
      <c r="L261" s="78"/>
      <c r="M261" s="79"/>
      <c r="N261" s="79"/>
      <c r="O261" s="79"/>
      <c r="P261" s="79"/>
      <c r="Q261" s="77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</row>
    <row r="262" spans="1:29" ht="13.2" x14ac:dyDescent="0.25">
      <c r="A262" s="136" t="s">
        <v>261</v>
      </c>
      <c r="B262" s="107">
        <v>113</v>
      </c>
      <c r="C262" s="98">
        <f>7104.3/1000</f>
        <v>7.1043000000000003</v>
      </c>
      <c r="D262" s="99">
        <f ca="1">IFERROR(__xludf.DUMMYFUNCTION("$C256*IMPORTRANGE(""https://docs.google.com/spreadsheets/d/1xsp01RMmkav9iTy39Zaj_7tE9677EGlOJ14KU9TZn7I/"",""2004-2017!H137"")"),5.844494481)</f>
        <v>5.8444944809999999</v>
      </c>
      <c r="E262" s="99">
        <f ca="1">IFERROR(__xludf.DUMMYFUNCTION("$C256*IMPORTRANGE(""https://docs.google.com/spreadsheets/d/1xsp01RMmkav9iTy39Zaj_7tE9677EGlOJ14KU9TZn7I/"",""2004-2017!T137"")"),3.8788412355)</f>
        <v>3.8788412354999999</v>
      </c>
      <c r="F262" s="99">
        <f ca="1">IFERROR(__xludf.DUMMYFUNCTION("$C256*IMPORTRANGE(""https://docs.google.com/spreadsheets/d/1xsp01RMmkav9iTy39Zaj_7tE9677EGlOJ14KU9TZn7I/"",""2004-2017!AC137"")"),777.70773165645)</f>
        <v>777.70773165645005</v>
      </c>
      <c r="G262" s="128" t="s">
        <v>8</v>
      </c>
      <c r="H262" s="80"/>
      <c r="I262" s="80"/>
      <c r="J262" s="80"/>
      <c r="K262" s="77"/>
      <c r="L262" s="78"/>
      <c r="M262" s="79"/>
      <c r="N262" s="79"/>
      <c r="O262" s="79"/>
      <c r="P262" s="79"/>
      <c r="Q262" s="77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</row>
    <row r="263" spans="1:29" ht="13.2" x14ac:dyDescent="0.25">
      <c r="A263" s="137" t="s">
        <v>262</v>
      </c>
      <c r="B263" s="106">
        <v>129</v>
      </c>
      <c r="C263" s="88">
        <f>11833.3/1000</f>
        <v>11.833299999999999</v>
      </c>
      <c r="D263" s="96">
        <f ca="1">IFERROR(__xludf.DUMMYFUNCTION("$C257*IMPORTRANGE(""https://docs.google.com/spreadsheets/d/1xsp01RMmkav9iTy39Zaj_7tE9677EGlOJ14KU9TZn7I/"",""2004-2017!H160"")"),9.6162720785)</f>
        <v>9.6162720784999998</v>
      </c>
      <c r="E263" s="96">
        <f ca="1">IFERROR(__xludf.DUMMYFUNCTION("$C257*IMPORTRANGE(""https://docs.google.com/spreadsheets/d/1xsp01RMmkav9iTy39Zaj_7tE9677EGlOJ14KU9TZn7I/"",""2004-2017!T160"")"),6.42027524799999)</f>
        <v>6.4202752479999896</v>
      </c>
      <c r="F263" s="96">
        <f ca="1">IFERROR(__xludf.DUMMYFUNCTION("$C257*IMPORTRANGE(""https://docs.google.com/spreadsheets/d/1xsp01RMmkav9iTy39Zaj_7tE9677EGlOJ14KU9TZn7I/"",""2004-2017!AC160"")"),1290.7763876666)</f>
        <v>1290.7763876665999</v>
      </c>
      <c r="G263" s="126" t="s">
        <v>8</v>
      </c>
      <c r="H263" s="80"/>
      <c r="I263" s="80"/>
      <c r="J263" s="80"/>
      <c r="K263" s="77"/>
      <c r="L263" s="78"/>
      <c r="M263" s="79"/>
      <c r="N263" s="79"/>
      <c r="O263" s="79"/>
      <c r="P263" s="79"/>
      <c r="Q263" s="77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</row>
    <row r="264" spans="1:29" ht="13.2" x14ac:dyDescent="0.25">
      <c r="A264" s="136" t="s">
        <v>263</v>
      </c>
      <c r="B264" s="107">
        <v>100</v>
      </c>
      <c r="C264" s="98">
        <f>16330.4/1000</f>
        <v>16.330400000000001</v>
      </c>
      <c r="D264" s="99">
        <f ca="1">IFERROR(__xludf.DUMMYFUNCTION("$C258*IMPORTRANGE(""https://docs.google.com/spreadsheets/d/1xsp01RMmkav9iTy39Zaj_7tE9677EGlOJ14KU9TZn7I/"",""2004-2017!H183"")"),13.38562062)</f>
        <v>13.385620619999999</v>
      </c>
      <c r="E264" s="99">
        <f ca="1">IFERROR(__xludf.DUMMYFUNCTION("$C258*IMPORTRANGE(""https://docs.google.com/spreadsheets/d/1xsp01RMmkav9iTy39Zaj_7tE9677EGlOJ14KU9TZn7I/"",""2004-2017!T183"")"),8.952406932)</f>
        <v>8.9524069320000006</v>
      </c>
      <c r="F264" s="99">
        <f ca="1">IFERROR(__xludf.DUMMYFUNCTION("$C258*IMPORTRANGE(""https://docs.google.com/spreadsheets/d/1xsp01RMmkav9iTy39Zaj_7tE9677EGlOJ14KU9TZn7I/"",""2004-2017!AC183"")"),1800.3449235044)</f>
        <v>1800.3449235044</v>
      </c>
      <c r="G264" s="128" t="s">
        <v>8</v>
      </c>
      <c r="H264" s="80"/>
      <c r="I264" s="80"/>
      <c r="J264" s="80"/>
      <c r="K264" s="77"/>
      <c r="L264" s="78"/>
      <c r="M264" s="79"/>
      <c r="N264" s="79"/>
      <c r="O264" s="79"/>
      <c r="P264" s="79"/>
      <c r="Q264" s="77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</row>
    <row r="265" spans="1:29" ht="13.2" x14ac:dyDescent="0.25">
      <c r="A265" s="137" t="s">
        <v>264</v>
      </c>
      <c r="B265" s="106">
        <v>122</v>
      </c>
      <c r="C265" s="88">
        <f>16056.1/1000</f>
        <v>16.056100000000001</v>
      </c>
      <c r="D265" s="96">
        <f ca="1">IFERROR(__xludf.DUMMYFUNCTION("$C259*IMPORTRANGE(""https://docs.google.com/spreadsheets/d/1xsp01RMmkav9iTy39Zaj_7tE9677EGlOJ14KU9TZn7I/"",""2004-2017!H206"")"),13.105952186)</f>
        <v>13.105952186</v>
      </c>
      <c r="E265" s="96">
        <f ca="1">IFERROR(__xludf.DUMMYFUNCTION("$C259*IMPORTRANGE(""https://docs.google.com/spreadsheets/d/1xsp01RMmkav9iTy39Zaj_7tE9677EGlOJ14KU9TZn7I/"",""2004-2017!T206"")"),8.9508743475)</f>
        <v>8.9508743474999992</v>
      </c>
      <c r="F265" s="96">
        <f ca="1">IFERROR(__xludf.DUMMYFUNCTION("$C259*IMPORTRANGE(""https://docs.google.com/spreadsheets/d/1xsp01RMmkav9iTy39Zaj_7tE9677EGlOJ14KU9TZn7I/"",""2004-2017!AC206"")"),1765.60904452805)</f>
        <v>1765.6090445280499</v>
      </c>
      <c r="G265" s="126" t="s">
        <v>8</v>
      </c>
      <c r="H265" s="80"/>
      <c r="I265" s="80"/>
      <c r="J265" s="80"/>
      <c r="K265" s="77"/>
      <c r="L265" s="78"/>
      <c r="M265" s="79"/>
      <c r="N265" s="79"/>
      <c r="O265" s="79"/>
      <c r="P265" s="79"/>
      <c r="Q265" s="77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</row>
    <row r="266" spans="1:29" ht="13.2" x14ac:dyDescent="0.25">
      <c r="A266" s="136" t="s">
        <v>265</v>
      </c>
      <c r="B266" s="107">
        <v>142</v>
      </c>
      <c r="C266" s="98">
        <f>31055/1000</f>
        <v>31.055</v>
      </c>
      <c r="D266" s="99">
        <f ca="1">IFERROR(__xludf.DUMMYFUNCTION("$C260*IMPORTRANGE(""https://docs.google.com/spreadsheets/d/1xsp01RMmkav9iTy39Zaj_7tE9677EGlOJ14KU9TZn7I/"",""2004-2017!H228"")"),24.950052825)</f>
        <v>24.950052825</v>
      </c>
      <c r="E266" s="99">
        <f ca="1">IFERROR(__xludf.DUMMYFUNCTION("$C260*IMPORTRANGE(""https://docs.google.com/spreadsheets/d/1xsp01RMmkav9iTy39Zaj_7tE9677EGlOJ14KU9TZn7I/"",""2004-2017!T228"")"),17.263319225)</f>
        <v>17.263319225</v>
      </c>
      <c r="F266" s="99">
        <f ca="1">IFERROR(__xludf.DUMMYFUNCTION("$C260*IMPORTRANGE(""https://docs.google.com/spreadsheets/d/1xsp01RMmkav9iTy39Zaj_7tE9677EGlOJ14KU9TZn7I/"",""2004-2017!AC228"")"),3396.48544316499)</f>
        <v>3396.4854431649901</v>
      </c>
      <c r="G266" s="128" t="s">
        <v>8</v>
      </c>
      <c r="H266" s="80"/>
      <c r="I266" s="80"/>
      <c r="J266" s="80"/>
      <c r="K266" s="77"/>
      <c r="L266" s="78"/>
      <c r="M266" s="79"/>
      <c r="N266" s="79"/>
      <c r="O266" s="79"/>
      <c r="P266" s="79"/>
      <c r="Q266" s="77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</row>
    <row r="267" spans="1:29" ht="13.2" x14ac:dyDescent="0.25">
      <c r="A267" s="137" t="s">
        <v>266</v>
      </c>
      <c r="B267" s="106">
        <v>126</v>
      </c>
      <c r="C267" s="88">
        <f>21487.5/1000</f>
        <v>21.487500000000001</v>
      </c>
      <c r="D267" s="96">
        <f ca="1">IFERROR(__xludf.DUMMYFUNCTION("$C261*IMPORTRANGE(""https://docs.google.com/spreadsheets/d/1xsp01RMmkav9iTy39Zaj_7tE9677EGlOJ14KU9TZn7I/"",""2004-2017!H251"")"),16.57416825)</f>
        <v>16.57416825</v>
      </c>
      <c r="E267" s="96">
        <f ca="1">IFERROR(__xludf.DUMMYFUNCTION("$C261*IMPORTRANGE(""https://docs.google.com/spreadsheets/d/1xsp01RMmkav9iTy39Zaj_7tE9677EGlOJ14KU9TZn7I/"",""2004-2017!T251"")"),11.574241875)</f>
        <v>11.574241875</v>
      </c>
      <c r="F267" s="96">
        <f ca="1">IFERROR(__xludf.DUMMYFUNCTION("$C261*IMPORTRANGE(""https://docs.google.com/spreadsheets/d/1xsp01RMmkav9iTy39Zaj_7tE9677EGlOJ14KU9TZn7I/"",""2004-2017!AC251"")"),2265.1048339875)</f>
        <v>2265.1048339875001</v>
      </c>
      <c r="G267" s="126" t="s">
        <v>8</v>
      </c>
      <c r="H267" s="80"/>
      <c r="I267" s="80"/>
      <c r="J267" s="80"/>
      <c r="K267" s="77"/>
      <c r="L267" s="78"/>
      <c r="M267" s="79"/>
      <c r="N267" s="79"/>
      <c r="O267" s="79"/>
      <c r="P267" s="79"/>
      <c r="Q267" s="77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</row>
    <row r="268" spans="1:29" ht="13.2" x14ac:dyDescent="0.25">
      <c r="A268" s="138" t="s">
        <v>267</v>
      </c>
      <c r="B268" s="108">
        <v>251</v>
      </c>
      <c r="C268" s="101">
        <f>16604.3/1000</f>
        <v>16.604299999999999</v>
      </c>
      <c r="D268" s="102">
        <f ca="1">IFERROR(__xludf.DUMMYFUNCTION("$C262*IMPORTRANGE(""https://docs.google.com/spreadsheets/d/1xsp01RMmkav9iTy39Zaj_7tE9677EGlOJ14KU9TZn7I/"",""2004-2017!H275"")"),12.3985968529999)</f>
        <v>12.3985968529999</v>
      </c>
      <c r="E268" s="102">
        <f ca="1">IFERROR(__xludf.DUMMYFUNCTION("$C262*IMPORTRANGE(""https://docs.google.com/spreadsheets/d/1xsp01RMmkav9iTy39Zaj_7tE9677EGlOJ14KU9TZn7I/"",""2004-2017!T275"")"),8.61447688299999)</f>
        <v>8.6144768829999894</v>
      </c>
      <c r="F268" s="102">
        <f ca="1">IFERROR(__xludf.DUMMYFUNCTION("$C262*IMPORTRANGE(""https://docs.google.com/spreadsheets/d/1xsp01RMmkav9iTy39Zaj_7tE9677EGlOJ14KU9TZn7I/"",""2004-2017!AC275"")"),1725.8509752086)</f>
        <v>1725.8509752085999</v>
      </c>
      <c r="G268" s="129" t="s">
        <v>8</v>
      </c>
      <c r="H268" s="80"/>
      <c r="I268" s="80"/>
      <c r="J268" s="80"/>
      <c r="K268" s="77"/>
      <c r="L268" s="78"/>
      <c r="M268" s="79"/>
      <c r="N268" s="79"/>
      <c r="O268" s="79"/>
      <c r="P268" s="79"/>
      <c r="Q268" s="77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</row>
    <row r="269" spans="1:29" ht="13.2" x14ac:dyDescent="0.25">
      <c r="A269" s="120">
        <v>2005</v>
      </c>
      <c r="B269" s="121"/>
      <c r="C269" s="139"/>
      <c r="D269" s="139"/>
      <c r="E269" s="139"/>
      <c r="F269" s="139"/>
      <c r="G269" s="123"/>
      <c r="H269" s="80"/>
      <c r="I269" s="80"/>
      <c r="J269" s="80"/>
      <c r="K269" s="77"/>
      <c r="L269" s="78"/>
      <c r="M269" s="79"/>
      <c r="N269" s="79"/>
      <c r="O269" s="79"/>
      <c r="P269" s="79"/>
      <c r="Q269" s="77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</row>
    <row r="270" spans="1:29" ht="13.2" x14ac:dyDescent="0.25">
      <c r="A270" s="135" t="s">
        <v>268</v>
      </c>
      <c r="B270" s="105">
        <v>190</v>
      </c>
      <c r="C270" s="85">
        <f>77148.6/1000</f>
        <v>77.148600000000002</v>
      </c>
      <c r="D270" s="95">
        <f ca="1">IFERROR(__xludf.DUMMYFUNCTION("$C264*IMPORTRANGE(""https://docs.google.com/spreadsheets/d/1xsp01RMmkav9iTy39Zaj_7tE9677EGlOJ14KU9TZn7I/"",""2004-2017!H298"")"),59.068054104)</f>
        <v>59.068054103999998</v>
      </c>
      <c r="E270" s="95">
        <f ca="1">IFERROR(__xludf.DUMMYFUNCTION("$C264*IMPORTRANGE(""https://docs.google.com/spreadsheets/d/1xsp01RMmkav9iTy39Zaj_7tE9677EGlOJ14KU9TZn7I/"",""2004-2017!T298"")"),41.0669712659999)</f>
        <v>41.066971265999896</v>
      </c>
      <c r="F270" s="95">
        <f ca="1">IFERROR(__xludf.DUMMYFUNCTION("$C264*IMPORTRANGE(""https://docs.google.com/spreadsheets/d/1xsp01RMmkav9iTy39Zaj_7tE9677EGlOJ14KU9TZn7I/"",""2004-2017!AC298"")"),7939.3627345944)</f>
        <v>7939.3627345943996</v>
      </c>
      <c r="G270" s="124" t="s">
        <v>8</v>
      </c>
      <c r="H270" s="80"/>
      <c r="I270" s="80"/>
      <c r="J270" s="80"/>
      <c r="K270" s="77"/>
      <c r="L270" s="78"/>
      <c r="M270" s="79"/>
      <c r="N270" s="79"/>
      <c r="O270" s="79"/>
      <c r="P270" s="79"/>
      <c r="Q270" s="77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</row>
    <row r="271" spans="1:29" ht="13.2" x14ac:dyDescent="0.25">
      <c r="A271" s="136" t="s">
        <v>269</v>
      </c>
      <c r="B271" s="107">
        <v>171</v>
      </c>
      <c r="C271" s="98">
        <f>25500.2/1000</f>
        <v>25.5002</v>
      </c>
      <c r="D271" s="99">
        <f ca="1">IFERROR(__xludf.DUMMYFUNCTION("$C265*IMPORTRANGE(""https://docs.google.com/spreadsheets/d/1xsp01RMmkav9iTy39Zaj_7tE9677EGlOJ14KU9TZn7I/"",""2004-2017!H319"")"),19.574081021)</f>
        <v>19.574081021000001</v>
      </c>
      <c r="E271" s="99">
        <f ca="1">IFERROR(__xludf.DUMMYFUNCTION("$C265*IMPORTRANGE(""https://docs.google.com/spreadsheets/d/1xsp01RMmkav9iTy39Zaj_7tE9677EGlOJ14KU9TZn7I/"",""2004-2017!T319"")"),13.521226048)</f>
        <v>13.521226048000001</v>
      </c>
      <c r="F271" s="99">
        <f ca="1">IFERROR(__xludf.DUMMYFUNCTION("$C265*IMPORTRANGE(""https://docs.google.com/spreadsheets/d/1xsp01RMmkav9iTy39Zaj_7tE9677EGlOJ14KU9TZn7I/"",""2004-2017!AC319"")"),2681.85598299959)</f>
        <v>2681.8559829995902</v>
      </c>
      <c r="G271" s="128" t="s">
        <v>8</v>
      </c>
      <c r="H271" s="80"/>
      <c r="I271" s="80"/>
      <c r="J271" s="80"/>
      <c r="K271" s="77"/>
      <c r="L271" s="78"/>
      <c r="M271" s="79"/>
      <c r="N271" s="79"/>
      <c r="O271" s="79"/>
      <c r="P271" s="79"/>
      <c r="Q271" s="77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</row>
    <row r="272" spans="1:29" ht="13.2" x14ac:dyDescent="0.25">
      <c r="A272" s="137" t="s">
        <v>270</v>
      </c>
      <c r="B272" s="106">
        <v>206</v>
      </c>
      <c r="C272" s="88">
        <f>35903.8/1000</f>
        <v>35.903800000000004</v>
      </c>
      <c r="D272" s="96">
        <f ca="1">IFERROR(__xludf.DUMMYFUNCTION("$C266*IMPORTRANGE(""https://docs.google.com/spreadsheets/d/1xsp01RMmkav9iTy39Zaj_7tE9677EGlOJ14KU9TZn7I/"",""2004-2017!H343"")"),27.257805922)</f>
        <v>27.257805921999999</v>
      </c>
      <c r="E272" s="96">
        <f ca="1">IFERROR(__xludf.DUMMYFUNCTION("$C266*IMPORTRANGE(""https://docs.google.com/spreadsheets/d/1xsp01RMmkav9iTy39Zaj_7tE9677EGlOJ14KU9TZn7I/"",""2004-2017!T343"")"),18.766198184)</f>
        <v>18.766198184</v>
      </c>
      <c r="F272" s="96">
        <f ca="1">IFERROR(__xludf.DUMMYFUNCTION("$C266*IMPORTRANGE(""https://docs.google.com/spreadsheets/d/1xsp01RMmkav9iTy39Zaj_7tE9677EGlOJ14KU9TZn7I/"",""2004-2017!AC343"")"),3767.385734)</f>
        <v>3767.385734</v>
      </c>
      <c r="G272" s="126" t="s">
        <v>8</v>
      </c>
      <c r="H272" s="80"/>
      <c r="I272" s="80"/>
      <c r="J272" s="80"/>
      <c r="K272" s="77"/>
      <c r="L272" s="78"/>
      <c r="M272" s="79"/>
      <c r="N272" s="79"/>
      <c r="O272" s="79"/>
      <c r="P272" s="79"/>
      <c r="Q272" s="77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</row>
    <row r="273" spans="1:29" ht="13.2" x14ac:dyDescent="0.25">
      <c r="A273" s="136" t="s">
        <v>271</v>
      </c>
      <c r="B273" s="107">
        <v>195</v>
      </c>
      <c r="C273" s="98">
        <f>35123.2/1000</f>
        <v>35.123199999999997</v>
      </c>
      <c r="D273" s="99">
        <f ca="1">IFERROR(__xludf.DUMMYFUNCTION("$C267*IMPORTRANGE(""https://docs.google.com/spreadsheets/d/1xsp01RMmkav9iTy39Zaj_7tE9677EGlOJ14KU9TZn7I/"",""2004-2017!H365"")"),27.1955425279999)</f>
        <v>27.195542527999901</v>
      </c>
      <c r="E273" s="99">
        <f ca="1">IFERROR(__xludf.DUMMYFUNCTION("$C267*IMPORTRANGE(""https://docs.google.com/spreadsheets/d/1xsp01RMmkav9iTy39Zaj_7tE9677EGlOJ14KU9TZn7I/"",""2004-2017!T365"")"),18.54153728)</f>
        <v>18.54153728</v>
      </c>
      <c r="F273" s="99">
        <f ca="1">IFERROR(__xludf.DUMMYFUNCTION("$C267*IMPORTRANGE(""https://docs.google.com/spreadsheets/d/1xsp01RMmkav9iTy39Zaj_7tE9677EGlOJ14KU9TZn7I/"",""2004-2017!AC365"")"),3773.285376)</f>
        <v>3773.2853759999998</v>
      </c>
      <c r="G273" s="128" t="s">
        <v>8</v>
      </c>
      <c r="H273" s="80"/>
      <c r="I273" s="80"/>
      <c r="J273" s="80"/>
      <c r="K273" s="77"/>
      <c r="L273" s="78"/>
      <c r="M273" s="79"/>
      <c r="N273" s="79"/>
      <c r="O273" s="79"/>
      <c r="P273" s="79"/>
      <c r="Q273" s="77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</row>
    <row r="274" spans="1:29" ht="13.2" x14ac:dyDescent="0.25">
      <c r="A274" s="137" t="s">
        <v>272</v>
      </c>
      <c r="B274" s="106">
        <v>189</v>
      </c>
      <c r="C274" s="88">
        <f>35184.1/1000</f>
        <v>35.184100000000001</v>
      </c>
      <c r="D274" s="96">
        <f ca="1">IFERROR(__xludf.DUMMYFUNCTION("$C268*IMPORTRANGE(""https://docs.google.com/spreadsheets/d/1xsp01RMmkav9iTy39Zaj_7tE9677EGlOJ14KU9TZn7I/"",""2004-2017!H388"")"),27.8410024095)</f>
        <v>27.8410024095</v>
      </c>
      <c r="E274" s="96">
        <f ca="1">IFERROR(__xludf.DUMMYFUNCTION("$C268*IMPORTRANGE(""https://docs.google.com/spreadsheets/d/1xsp01RMmkav9iTy39Zaj_7tE9677EGlOJ14KU9TZn7I/"",""2004-2017!T388"")"),19.1290674085)</f>
        <v>19.129067408499999</v>
      </c>
      <c r="F274" s="96">
        <f ca="1">IFERROR(__xludf.DUMMYFUNCTION("$C268*IMPORTRANGE(""https://docs.google.com/spreadsheets/d/1xsp01RMmkav9iTy39Zaj_7tE9677EGlOJ14KU9TZn7I/"",""2004-2017!AC388"")"),3770.328156)</f>
        <v>3770.328156</v>
      </c>
      <c r="G274" s="126" t="s">
        <v>8</v>
      </c>
      <c r="H274" s="80"/>
      <c r="I274" s="80"/>
      <c r="J274" s="80"/>
      <c r="K274" s="77"/>
      <c r="L274" s="78"/>
      <c r="M274" s="79"/>
      <c r="N274" s="79"/>
      <c r="O274" s="79"/>
      <c r="P274" s="79"/>
      <c r="Q274" s="77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</row>
    <row r="275" spans="1:29" ht="13.2" x14ac:dyDescent="0.25">
      <c r="A275" s="136" t="s">
        <v>273</v>
      </c>
      <c r="B275" s="107">
        <v>225</v>
      </c>
      <c r="C275" s="98">
        <f>15287.7/1000</f>
        <v>15.287700000000001</v>
      </c>
      <c r="D275" s="99">
        <f ca="1">IFERROR(__xludf.DUMMYFUNCTION("$C269*IMPORTRANGE(""https://docs.google.com/spreadsheets/d/1xsp01RMmkav9iTy39Zaj_7tE9677EGlOJ14KU9TZn7I/"",""2004-2017!H411"")"),12.588197934)</f>
        <v>12.588197934</v>
      </c>
      <c r="E275" s="99">
        <f ca="1">IFERROR(__xludf.DUMMYFUNCTION("$C269*IMPORTRANGE(""https://docs.google.com/spreadsheets/d/1xsp01RMmkav9iTy39Zaj_7tE9677EGlOJ14KU9TZn7I/"",""2004-2017!T411"")"),8.3959284015)</f>
        <v>8.3959284015000009</v>
      </c>
      <c r="F275" s="99">
        <f ca="1">IFERROR(__xludf.DUMMYFUNCTION("$C269*IMPORTRANGE(""https://docs.google.com/spreadsheets/d/1xsp01RMmkav9iTy39Zaj_7tE9677EGlOJ14KU9TZn7I/"",""2004-2017!AC411"")"),1663.913268)</f>
        <v>1663.913268</v>
      </c>
      <c r="G275" s="128" t="s">
        <v>8</v>
      </c>
      <c r="H275" s="80"/>
      <c r="I275" s="80"/>
      <c r="J275" s="80"/>
      <c r="K275" s="77"/>
      <c r="L275" s="78"/>
      <c r="M275" s="79"/>
      <c r="N275" s="79"/>
      <c r="O275" s="79"/>
      <c r="P275" s="79"/>
      <c r="Q275" s="77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</row>
    <row r="276" spans="1:29" ht="13.2" x14ac:dyDescent="0.25">
      <c r="A276" s="137" t="s">
        <v>274</v>
      </c>
      <c r="B276" s="106">
        <v>237</v>
      </c>
      <c r="C276" s="88">
        <f>14380/1000</f>
        <v>14.38</v>
      </c>
      <c r="D276" s="96">
        <f ca="1">IFERROR(__xludf.DUMMYFUNCTION("$C270*IMPORTRANGE(""https://docs.google.com/spreadsheets/d/1xsp01RMmkav9iTy39Zaj_7tE9677EGlOJ14KU9TZn7I/"",""2004-2017!H433"")"),11.9227456)</f>
        <v>11.922745600000001</v>
      </c>
      <c r="E276" s="96">
        <f ca="1">IFERROR(__xludf.DUMMYFUNCTION("$C270*IMPORTRANGE(""https://docs.google.com/spreadsheets/d/1xsp01RMmkav9iTy39Zaj_7tE9677EGlOJ14KU9TZn7I/"",""2004-2017!T433"")"),8.2078164)</f>
        <v>8.2078164000000005</v>
      </c>
      <c r="F276" s="96">
        <f ca="1">IFERROR(__xludf.DUMMYFUNCTION("$C270*IMPORTRANGE(""https://docs.google.com/spreadsheets/d/1xsp01RMmkav9iTy39Zaj_7tE9677EGlOJ14KU9TZn7I/"",""2004-2017!AC433"")"),1610.70382876)</f>
        <v>1610.7038287600001</v>
      </c>
      <c r="G276" s="126" t="s">
        <v>8</v>
      </c>
      <c r="H276" s="80"/>
      <c r="I276" s="80"/>
      <c r="J276" s="80"/>
      <c r="K276" s="77"/>
      <c r="L276" s="78"/>
      <c r="M276" s="79"/>
      <c r="N276" s="79"/>
      <c r="O276" s="79"/>
      <c r="P276" s="79"/>
      <c r="Q276" s="77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</row>
    <row r="277" spans="1:29" ht="13.2" x14ac:dyDescent="0.25">
      <c r="A277" s="136" t="s">
        <v>275</v>
      </c>
      <c r="B277" s="107">
        <v>198</v>
      </c>
      <c r="C277" s="98">
        <f>21277.3/1000</f>
        <v>21.2773</v>
      </c>
      <c r="D277" s="99">
        <f ca="1">IFERROR(__xludf.DUMMYFUNCTION("$C271*IMPORTRANGE(""https://docs.google.com/spreadsheets/d/1xsp01RMmkav9iTy39Zaj_7tE9677EGlOJ14KU9TZn7I/"",""2004-2017!H457"")"),17.295891624)</f>
        <v>17.295891623999999</v>
      </c>
      <c r="E277" s="99">
        <f ca="1">IFERROR(__xludf.DUMMYFUNCTION("$C271*IMPORTRANGE(""https://docs.google.com/spreadsheets/d/1xsp01RMmkav9iTy39Zaj_7tE9677EGlOJ14KU9TZn7I/"",""2004-2017!T457"")"),11.843796272)</f>
        <v>11.843796272000001</v>
      </c>
      <c r="F277" s="99">
        <f ca="1">IFERROR(__xludf.DUMMYFUNCTION("$C271*IMPORTRANGE(""https://docs.google.com/spreadsheets/d/1xsp01RMmkav9iTy39Zaj_7tE9677EGlOJ14KU9TZn7I/"",""2004-2017!AC457"")"),2350.2905367227)</f>
        <v>2350.2905367226999</v>
      </c>
      <c r="G277" s="128" t="s">
        <v>8</v>
      </c>
      <c r="H277" s="80"/>
      <c r="I277" s="80"/>
      <c r="J277" s="80"/>
      <c r="K277" s="77"/>
      <c r="L277" s="78"/>
      <c r="M277" s="79"/>
      <c r="N277" s="79"/>
      <c r="O277" s="79"/>
      <c r="P277" s="79"/>
      <c r="Q277" s="77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</row>
    <row r="278" spans="1:29" ht="13.2" x14ac:dyDescent="0.25">
      <c r="A278" s="137" t="s">
        <v>276</v>
      </c>
      <c r="B278" s="106">
        <v>254</v>
      </c>
      <c r="C278" s="88">
        <f>105227.4/1000</f>
        <v>105.22739999999999</v>
      </c>
      <c r="D278" s="96">
        <f ca="1">IFERROR(__xludf.DUMMYFUNCTION("$C272*IMPORTRANGE(""https://docs.google.com/spreadsheets/d/1xsp01RMmkav9iTy39Zaj_7tE9677EGlOJ14KU9TZn7I/"",""2004-2017!H480"")"),85.9770994439999)</f>
        <v>85.977099443999904</v>
      </c>
      <c r="E278" s="96">
        <f ca="1">IFERROR(__xludf.DUMMYFUNCTION("$C272*IMPORTRANGE(""https://docs.google.com/spreadsheets/d/1xsp01RMmkav9iTy39Zaj_7tE9677EGlOJ14KU9TZn7I/"",""2004-2017!T480"")"),58.178124912)</f>
        <v>58.178124912000001</v>
      </c>
      <c r="F278" s="96">
        <f ca="1">IFERROR(__xludf.DUMMYFUNCTION("$C272*IMPORTRANGE(""https://docs.google.com/spreadsheets/d/1xsp01RMmkav9iTy39Zaj_7tE9677EGlOJ14KU9TZn7I/"",""2004-2017!AC480"")"),11649.7253487725)</f>
        <v>11649.725348772499</v>
      </c>
      <c r="G278" s="126" t="s">
        <v>8</v>
      </c>
      <c r="H278" s="80"/>
      <c r="I278" s="80"/>
      <c r="J278" s="80"/>
      <c r="K278" s="77"/>
      <c r="L278" s="78"/>
      <c r="M278" s="79"/>
      <c r="N278" s="79"/>
      <c r="O278" s="79"/>
      <c r="P278" s="79"/>
      <c r="Q278" s="77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</row>
    <row r="279" spans="1:29" ht="13.2" x14ac:dyDescent="0.25">
      <c r="A279" s="136" t="s">
        <v>277</v>
      </c>
      <c r="B279" s="107">
        <v>248</v>
      </c>
      <c r="C279" s="98">
        <f>39543.1/1000</f>
        <v>39.543099999999995</v>
      </c>
      <c r="D279" s="99">
        <f ca="1">IFERROR(__xludf.DUMMYFUNCTION("$C273*IMPORTRANGE(""https://docs.google.com/spreadsheets/d/1xsp01RMmkav9iTy39Zaj_7tE9677EGlOJ14KU9TZn7I/"",""2004-2017!H502"")"),32.903418079)</f>
        <v>32.903418078999998</v>
      </c>
      <c r="E279" s="99">
        <f ca="1">IFERROR(__xludf.DUMMYFUNCTION("$C273*IMPORTRANGE(""https://docs.google.com/spreadsheets/d/1xsp01RMmkav9iTy39Zaj_7tE9677EGlOJ14KU9TZn7I/"",""2004-2017!T502"")"),22.3572733089999)</f>
        <v>22.357273308999901</v>
      </c>
      <c r="F279" s="99">
        <f ca="1">IFERROR(__xludf.DUMMYFUNCTION("$C273*IMPORTRANGE(""https://docs.google.com/spreadsheets/d/1xsp01RMmkav9iTy39Zaj_7tE9677EGlOJ14KU9TZn7I/"",""2004-2017!AC502"")"),4551.4107309138)</f>
        <v>4551.4107309137999</v>
      </c>
      <c r="G279" s="128" t="s">
        <v>8</v>
      </c>
      <c r="H279" s="80"/>
      <c r="I279" s="80"/>
      <c r="J279" s="80"/>
      <c r="K279" s="77"/>
      <c r="L279" s="78"/>
      <c r="M279" s="79"/>
      <c r="N279" s="79"/>
      <c r="O279" s="79"/>
      <c r="P279" s="79"/>
      <c r="Q279" s="77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</row>
    <row r="280" spans="1:29" ht="13.2" x14ac:dyDescent="0.25">
      <c r="A280" s="137" t="s">
        <v>278</v>
      </c>
      <c r="B280" s="106">
        <v>232</v>
      </c>
      <c r="C280" s="88">
        <f>29624.8/1000</f>
        <v>29.6248</v>
      </c>
      <c r="D280" s="96">
        <f ca="1">IFERROR(__xludf.DUMMYFUNCTION("$C274*IMPORTRANGE(""https://docs.google.com/spreadsheets/d/1xsp01RMmkav9iTy39Zaj_7tE9677EGlOJ14KU9TZn7I/"",""2004-2017!H525"")"),25.154713928)</f>
        <v>25.154713928</v>
      </c>
      <c r="E280" s="96">
        <f ca="1">IFERROR(__xludf.DUMMYFUNCTION("$C274*IMPORTRANGE(""https://docs.google.com/spreadsheets/d/1xsp01RMmkav9iTy39Zaj_7tE9677EGlOJ14KU9TZn7I/"",""2004-2017!T525"")"),17.086547772)</f>
        <v>17.086547771999999</v>
      </c>
      <c r="F280" s="96">
        <f ca="1">IFERROR(__xludf.DUMMYFUNCTION("$C274*IMPORTRANGE(""https://docs.google.com/spreadsheets/d/1xsp01RMmkav9iTy39Zaj_7tE9677EGlOJ14KU9TZn7I/"",""2004-2017!AC525"")"),3519.4262251876)</f>
        <v>3519.4262251875998</v>
      </c>
      <c r="G280" s="126" t="s">
        <v>8</v>
      </c>
      <c r="H280" s="80"/>
      <c r="I280" s="80"/>
      <c r="J280" s="80"/>
      <c r="K280" s="77"/>
      <c r="L280" s="78"/>
      <c r="M280" s="79"/>
      <c r="N280" s="79"/>
      <c r="O280" s="79"/>
      <c r="P280" s="79"/>
      <c r="Q280" s="77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</row>
    <row r="281" spans="1:29" ht="13.2" x14ac:dyDescent="0.25">
      <c r="A281" s="138" t="s">
        <v>279</v>
      </c>
      <c r="B281" s="108">
        <v>435</v>
      </c>
      <c r="C281" s="101">
        <f>71723.7/1000</f>
        <v>71.723699999999994</v>
      </c>
      <c r="D281" s="102">
        <f ca="1">IFERROR(__xludf.DUMMYFUNCTION("$C275*IMPORTRANGE(""https://docs.google.com/spreadsheets/d/1xsp01RMmkav9iTy39Zaj_7tE9677EGlOJ14KU9TZn7I/"",""2004-2017!H548"")"),60.5312166149999)</f>
        <v>60.531216614999899</v>
      </c>
      <c r="E281" s="102">
        <f ca="1">IFERROR(__xludf.DUMMYFUNCTION("$C275*IMPORTRANGE(""https://docs.google.com/spreadsheets/d/1xsp01RMmkav9iTy39Zaj_7tE9677EGlOJ14KU9TZn7I/"",""2004-2017!T548"")"),41.1694038)</f>
        <v>41.169403799999998</v>
      </c>
      <c r="F281" s="102">
        <f ca="1">IFERROR(__xludf.DUMMYFUNCTION("$C275*IMPORTRANGE(""https://docs.google.com/spreadsheets/d/1xsp01RMmkav9iTy39Zaj_7tE9677EGlOJ14KU9TZn7I/"",""2004-2017!AC548"")"),8446.54149463814)</f>
        <v>8446.5414946381406</v>
      </c>
      <c r="G281" s="129" t="s">
        <v>8</v>
      </c>
      <c r="H281" s="80"/>
      <c r="I281" s="80"/>
      <c r="J281" s="80"/>
      <c r="K281" s="77"/>
      <c r="L281" s="78"/>
      <c r="M281" s="79"/>
      <c r="N281" s="79"/>
      <c r="O281" s="79"/>
      <c r="P281" s="79"/>
      <c r="Q281" s="77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</row>
    <row r="282" spans="1:29" ht="13.2" x14ac:dyDescent="0.25">
      <c r="A282" s="120">
        <v>2006</v>
      </c>
      <c r="B282" s="121"/>
      <c r="C282" s="139"/>
      <c r="D282" s="139"/>
      <c r="E282" s="139"/>
      <c r="F282" s="139"/>
      <c r="G282" s="123"/>
      <c r="H282" s="80"/>
      <c r="I282" s="80"/>
      <c r="J282" s="80"/>
      <c r="K282" s="77"/>
      <c r="L282" s="78"/>
      <c r="M282" s="79"/>
      <c r="N282" s="79"/>
      <c r="O282" s="79"/>
      <c r="P282" s="79"/>
      <c r="Q282" s="77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</row>
    <row r="283" spans="1:29" ht="13.2" x14ac:dyDescent="0.25">
      <c r="A283" s="135" t="s">
        <v>280</v>
      </c>
      <c r="B283" s="105">
        <v>234</v>
      </c>
      <c r="C283" s="85">
        <f>19960.2/1000</f>
        <v>19.9602</v>
      </c>
      <c r="D283" s="95">
        <f ca="1">IFERROR(__xludf.DUMMYFUNCTION("$C277*IMPORTRANGE(""https://docs.google.com/spreadsheets/d/1xsp01RMmkav9iTy39Zaj_7tE9677EGlOJ14KU9TZn7I/"",""2004-2017!H572"")"),16.48213515)</f>
        <v>16.482135150000001</v>
      </c>
      <c r="E283" s="95">
        <f ca="1">IFERROR(__xludf.DUMMYFUNCTION("$C277*IMPORTRANGE(""https://docs.google.com/spreadsheets/d/1xsp01RMmkav9iTy39Zaj_7tE9677EGlOJ14KU9TZn7I/"",""2004-2017!T572"")"),11.296774593)</f>
        <v>11.296774593</v>
      </c>
      <c r="F283" s="95">
        <f ca="1">IFERROR(__xludf.DUMMYFUNCTION("$C277*IMPORTRANGE(""https://docs.google.com/spreadsheets/d/1xsp01RMmkav9iTy39Zaj_7tE9677EGlOJ14KU9TZn7I/"",""2004-2017!AC572"")"),2303.1076470597)</f>
        <v>2303.1076470597</v>
      </c>
      <c r="G283" s="124" t="s">
        <v>8</v>
      </c>
      <c r="H283" s="80"/>
      <c r="I283" s="80"/>
      <c r="J283" s="80"/>
      <c r="K283" s="77"/>
      <c r="L283" s="78"/>
      <c r="M283" s="79"/>
      <c r="N283" s="79"/>
      <c r="O283" s="79"/>
      <c r="P283" s="79"/>
      <c r="Q283" s="77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</row>
    <row r="284" spans="1:29" ht="13.2" x14ac:dyDescent="0.25">
      <c r="A284" s="136" t="s">
        <v>281</v>
      </c>
      <c r="B284" s="107">
        <v>287</v>
      </c>
      <c r="C284" s="98">
        <f>116612.9/1000</f>
        <v>116.6129</v>
      </c>
      <c r="D284" s="99">
        <f ca="1">IFERROR(__xludf.DUMMYFUNCTION("$C278*IMPORTRANGE(""https://docs.google.com/spreadsheets/d/1xsp01RMmkav9iTy39Zaj_7tE9677EGlOJ14KU9TZn7I/"",""2004-2017!H593"")"),97.7804997145)</f>
        <v>97.780499714499996</v>
      </c>
      <c r="E284" s="99">
        <f ca="1">IFERROR(__xludf.DUMMYFUNCTION("$C278*IMPORTRANGE(""https://docs.google.com/spreadsheets/d/1xsp01RMmkav9iTy39Zaj_7tE9677EGlOJ14KU9TZn7I/"",""2004-2017!T593"")"),66.836683635)</f>
        <v>66.836683635</v>
      </c>
      <c r="F284" s="99">
        <f ca="1">IFERROR(__xludf.DUMMYFUNCTION("$C278*IMPORTRANGE(""https://docs.google.com/spreadsheets/d/1xsp01RMmkav9iTy39Zaj_7tE9677EGlOJ14KU9TZn7I/"",""2004-2017!AC593"")"),13755.0747944193)</f>
        <v>13755.074794419301</v>
      </c>
      <c r="G284" s="128" t="s">
        <v>8</v>
      </c>
      <c r="H284" s="80"/>
      <c r="I284" s="80"/>
      <c r="J284" s="80"/>
      <c r="K284" s="77"/>
      <c r="L284" s="78"/>
      <c r="M284" s="79"/>
      <c r="N284" s="79"/>
      <c r="O284" s="79"/>
      <c r="P284" s="79"/>
      <c r="Q284" s="77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</row>
    <row r="285" spans="1:29" ht="13.2" x14ac:dyDescent="0.25">
      <c r="A285" s="137" t="s">
        <v>282</v>
      </c>
      <c r="B285" s="106">
        <v>327</v>
      </c>
      <c r="C285" s="88">
        <f>37369.1/1000</f>
        <v>37.369099999999996</v>
      </c>
      <c r="D285" s="96">
        <f ca="1">IFERROR(__xludf.DUMMYFUNCTION("$C279*IMPORTRANGE(""https://docs.google.com/spreadsheets/d/1xsp01RMmkav9iTy39Zaj_7tE9677EGlOJ14KU9TZn7I/"",""2004-2017!H617"")"),31.0608222289999)</f>
        <v>31.0608222289999</v>
      </c>
      <c r="E285" s="96">
        <f ca="1">IFERROR(__xludf.DUMMYFUNCTION("$C279*IMPORTRANGE(""https://docs.google.com/spreadsheets/d/1xsp01RMmkav9iTy39Zaj_7tE9677EGlOJ14KU9TZn7I/"",""2004-2017!T617"")"),21.393062368)</f>
        <v>21.393062367999999</v>
      </c>
      <c r="F285" s="96">
        <f ca="1">IFERROR(__xludf.DUMMYFUNCTION("$C279*IMPORTRANGE(""https://docs.google.com/spreadsheets/d/1xsp01RMmkav9iTy39Zaj_7tE9677EGlOJ14KU9TZn7I/"",""2004-2017!AC617"")"),4391.61651989269)</f>
        <v>4391.6165198926901</v>
      </c>
      <c r="G285" s="126" t="s">
        <v>8</v>
      </c>
      <c r="H285" s="80"/>
      <c r="I285" s="80"/>
      <c r="J285" s="80"/>
      <c r="K285" s="77"/>
      <c r="L285" s="78"/>
      <c r="M285" s="79"/>
      <c r="N285" s="79"/>
      <c r="O285" s="79"/>
      <c r="P285" s="79"/>
      <c r="Q285" s="77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</row>
    <row r="286" spans="1:29" ht="13.2" x14ac:dyDescent="0.25">
      <c r="A286" s="136" t="s">
        <v>283</v>
      </c>
      <c r="B286" s="107">
        <v>270</v>
      </c>
      <c r="C286" s="98">
        <f>106354.5/1000</f>
        <v>106.3545</v>
      </c>
      <c r="D286" s="99">
        <f ca="1">IFERROR(__xludf.DUMMYFUNCTION("$C280*IMPORTRANGE(""https://docs.google.com/spreadsheets/d/1xsp01RMmkav9iTy39Zaj_7tE9677EGlOJ14KU9TZn7I/"",""2004-2017!H638"")"),86.650201785)</f>
        <v>86.650201784999993</v>
      </c>
      <c r="E286" s="99">
        <f ca="1">IFERROR(__xludf.DUMMYFUNCTION("$C280*IMPORTRANGE(""https://docs.google.com/spreadsheets/d/1xsp01RMmkav9iTy39Zaj_7tE9677EGlOJ14KU9TZn7I/"",""2004-2017!T638"")"),60.3386302574999)</f>
        <v>60.338630257499901</v>
      </c>
      <c r="F286" s="99">
        <f ca="1">IFERROR(__xludf.DUMMYFUNCTION("$C280*IMPORTRANGE(""https://docs.google.com/spreadsheets/d/1xsp01RMmkav9iTy39Zaj_7tE9677EGlOJ14KU9TZn7I/"",""2004-2017!AC638"")"),12490.272692709)</f>
        <v>12490.272692709001</v>
      </c>
      <c r="G286" s="128" t="s">
        <v>8</v>
      </c>
      <c r="H286" s="80"/>
      <c r="I286" s="80"/>
      <c r="J286" s="80"/>
      <c r="K286" s="77"/>
      <c r="L286" s="78"/>
      <c r="M286" s="79"/>
      <c r="N286" s="79"/>
      <c r="O286" s="79"/>
      <c r="P286" s="79"/>
      <c r="Q286" s="77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</row>
    <row r="287" spans="1:29" ht="13.2" x14ac:dyDescent="0.25">
      <c r="A287" s="137" t="s">
        <v>284</v>
      </c>
      <c r="B287" s="106">
        <v>271</v>
      </c>
      <c r="C287" s="88">
        <f>31644.3/1000</f>
        <v>31.644299999999998</v>
      </c>
      <c r="D287" s="96">
        <f ca="1">IFERROR(__xludf.DUMMYFUNCTION("$C281*IMPORTRANGE(""https://docs.google.com/spreadsheets/d/1xsp01RMmkav9iTy39Zaj_7tE9677EGlOJ14KU9TZn7I/"",""2004-2017!H662"")"),24.7724238119999)</f>
        <v>24.7724238119999</v>
      </c>
      <c r="E287" s="96">
        <f ca="1">IFERROR(__xludf.DUMMYFUNCTION("$C281*IMPORTRANGE(""https://docs.google.com/spreadsheets/d/1xsp01RMmkav9iTy39Zaj_7tE9677EGlOJ14KU9TZn7I/"",""2004-2017!T662"")"),16.9075494899999)</f>
        <v>16.907549489999901</v>
      </c>
      <c r="F287" s="96">
        <f ca="1">IFERROR(__xludf.DUMMYFUNCTION("$C281*IMPORTRANGE(""https://docs.google.com/spreadsheets/d/1xsp01RMmkav9iTy39Zaj_7tE9677EGlOJ14KU9TZn7I/"",""2004-2017!AC662"")"),3536.56703128859)</f>
        <v>3536.56703128859</v>
      </c>
      <c r="G287" s="126" t="s">
        <v>8</v>
      </c>
      <c r="H287" s="80"/>
      <c r="I287" s="80"/>
      <c r="J287" s="80"/>
      <c r="K287" s="77"/>
      <c r="L287" s="78"/>
      <c r="M287" s="79"/>
      <c r="N287" s="79"/>
      <c r="O287" s="79"/>
      <c r="P287" s="79"/>
      <c r="Q287" s="77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</row>
    <row r="288" spans="1:29" ht="13.2" x14ac:dyDescent="0.25">
      <c r="A288" s="136" t="s">
        <v>285</v>
      </c>
      <c r="B288" s="107">
        <v>305</v>
      </c>
      <c r="C288" s="98">
        <f>49561.1/1000</f>
        <v>49.561099999999996</v>
      </c>
      <c r="D288" s="99">
        <f ca="1">IFERROR(__xludf.DUMMYFUNCTION("$C282*IMPORTRANGE(""https://docs.google.com/spreadsheets/d/1xsp01RMmkav9iTy39Zaj_7tE9677EGlOJ14KU9TZn7I/"",""2004-2017!H685"")"),39.2082818209999)</f>
        <v>39.2082818209999</v>
      </c>
      <c r="E288" s="99">
        <f ca="1">IFERROR(__xludf.DUMMYFUNCTION("$C282*IMPORTRANGE(""https://docs.google.com/spreadsheets/d/1xsp01RMmkav9iTy39Zaj_7tE9677EGlOJ14KU9TZn7I/"",""2004-2017!T685"")"),26.8878879719999)</f>
        <v>26.887887971999898</v>
      </c>
      <c r="F288" s="99">
        <f ca="1">IFERROR(__xludf.DUMMYFUNCTION("$C282*IMPORTRANGE(""https://docs.google.com/spreadsheets/d/1xsp01RMmkav9iTy39Zaj_7tE9677EGlOJ14KU9TZn7I/"",""2004-2017!AC685"")"),5691.96843225)</f>
        <v>5691.9684322499998</v>
      </c>
      <c r="G288" s="128" t="s">
        <v>8</v>
      </c>
      <c r="H288" s="80"/>
      <c r="I288" s="80"/>
      <c r="J288" s="80"/>
      <c r="K288" s="77"/>
      <c r="L288" s="78"/>
      <c r="M288" s="79"/>
      <c r="N288" s="79"/>
      <c r="O288" s="79"/>
      <c r="P288" s="79"/>
      <c r="Q288" s="77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</row>
    <row r="289" spans="1:29" ht="13.2" x14ac:dyDescent="0.25">
      <c r="A289" s="137" t="s">
        <v>286</v>
      </c>
      <c r="B289" s="106">
        <v>320</v>
      </c>
      <c r="C289" s="88">
        <f>23979/1000</f>
        <v>23.978999999999999</v>
      </c>
      <c r="D289" s="96">
        <f ca="1">IFERROR(__xludf.DUMMYFUNCTION("$C283*IMPORTRANGE(""https://docs.google.com/spreadsheets/d/1xsp01RMmkav9iTy39Zaj_7tE9677EGlOJ14KU9TZn7I/"",""2004-2017!H707"")"),18.86332014)</f>
        <v>18.863320139999999</v>
      </c>
      <c r="E289" s="96">
        <f ca="1">IFERROR(__xludf.DUMMYFUNCTION("$C283*IMPORTRANGE(""https://docs.google.com/spreadsheets/d/1xsp01RMmkav9iTy39Zaj_7tE9677EGlOJ14KU9TZn7I/"",""2004-2017!T707"")"),13.00093422)</f>
        <v>13.00093422</v>
      </c>
      <c r="F289" s="96">
        <f ca="1">IFERROR(__xludf.DUMMYFUNCTION("$C283*IMPORTRANGE(""https://docs.google.com/spreadsheets/d/1xsp01RMmkav9iTy39Zaj_7tE9677EGlOJ14KU9TZn7I/"",""2004-2017!AC707"")"),2771.25303)</f>
        <v>2771.2530299999999</v>
      </c>
      <c r="G289" s="126" t="s">
        <v>8</v>
      </c>
      <c r="H289" s="80"/>
      <c r="I289" s="80"/>
      <c r="J289" s="80"/>
      <c r="K289" s="77"/>
      <c r="L289" s="78"/>
      <c r="M289" s="79"/>
      <c r="N289" s="79"/>
      <c r="O289" s="79"/>
      <c r="P289" s="79"/>
      <c r="Q289" s="77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</row>
    <row r="290" spans="1:29" ht="13.2" x14ac:dyDescent="0.25">
      <c r="A290" s="136" t="s">
        <v>287</v>
      </c>
      <c r="B290" s="107">
        <v>286</v>
      </c>
      <c r="C290" s="98">
        <f>39960.7/1000</f>
        <v>39.960699999999996</v>
      </c>
      <c r="D290" s="99">
        <f ca="1">IFERROR(__xludf.DUMMYFUNCTION("$C284*IMPORTRANGE(""https://docs.google.com/spreadsheets/d/1xsp01RMmkav9iTy39Zaj_7tE9677EGlOJ14KU9TZn7I/"",""2004-2017!H731"")"),31.1973184899999)</f>
        <v>31.197318489999901</v>
      </c>
      <c r="E290" s="99">
        <f ca="1">IFERROR(__xludf.DUMMYFUNCTION("$C284*IMPORTRANGE(""https://docs.google.com/spreadsheets/d/1xsp01RMmkav9iTy39Zaj_7tE9677EGlOJ14KU9TZn7I/"",""2004-2017!T731"")"),21.119629557)</f>
        <v>21.119629557</v>
      </c>
      <c r="F290" s="99">
        <f ca="1">IFERROR(__xludf.DUMMYFUNCTION("$C284*IMPORTRANGE(""https://docs.google.com/spreadsheets/d/1xsp01RMmkav9iTy39Zaj_7tE9677EGlOJ14KU9TZn7I/"",""2004-2017!AC731"")"),4633.0436379214)</f>
        <v>4633.0436379213997</v>
      </c>
      <c r="G290" s="128" t="s">
        <v>8</v>
      </c>
      <c r="H290" s="80"/>
      <c r="I290" s="80"/>
      <c r="J290" s="80"/>
      <c r="K290" s="77"/>
      <c r="L290" s="78"/>
      <c r="M290" s="79"/>
      <c r="N290" s="79"/>
      <c r="O290" s="79"/>
      <c r="P290" s="79"/>
      <c r="Q290" s="77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</row>
    <row r="291" spans="1:29" ht="13.2" x14ac:dyDescent="0.25">
      <c r="A291" s="137" t="s">
        <v>288</v>
      </c>
      <c r="B291" s="106">
        <v>297</v>
      </c>
      <c r="C291" s="88">
        <f>29356.5/1000</f>
        <v>29.3565</v>
      </c>
      <c r="D291" s="96">
        <f ca="1">IFERROR(__xludf.DUMMYFUNCTION("$C285*IMPORTRANGE(""https://docs.google.com/spreadsheets/d/1xsp01RMmkav9iTy39Zaj_7tE9677EGlOJ14KU9TZn7I/"",""2004-2017!H753"")"),23.102684805)</f>
        <v>23.102684804999999</v>
      </c>
      <c r="E291" s="96">
        <f ca="1">IFERROR(__xludf.DUMMYFUNCTION("$C285*IMPORTRANGE(""https://docs.google.com/spreadsheets/d/1xsp01RMmkav9iTy39Zaj_7tE9677EGlOJ14KU9TZn7I/"",""2004-2017!T753"")"),15.566284125)</f>
        <v>15.566284124999999</v>
      </c>
      <c r="F291" s="96">
        <f ca="1">IFERROR(__xludf.DUMMYFUNCTION("$C285*IMPORTRANGE(""https://docs.google.com/spreadsheets/d/1xsp01RMmkav9iTy39Zaj_7tE9677EGlOJ14KU9TZn7I/"",""2004-2017!AC753"")"),3447.627418713)</f>
        <v>3447.6274187130002</v>
      </c>
      <c r="G291" s="126" t="s">
        <v>8</v>
      </c>
      <c r="H291" s="80"/>
      <c r="I291" s="80"/>
      <c r="J291" s="80"/>
      <c r="K291" s="77"/>
      <c r="L291" s="78"/>
      <c r="M291" s="79"/>
      <c r="N291" s="79"/>
      <c r="O291" s="79"/>
      <c r="P291" s="79"/>
      <c r="Q291" s="77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</row>
    <row r="292" spans="1:29" ht="13.2" x14ac:dyDescent="0.25">
      <c r="A292" s="136" t="s">
        <v>289</v>
      </c>
      <c r="B292" s="107">
        <v>310</v>
      </c>
      <c r="C292" s="98">
        <f>67473/1000</f>
        <v>67.472999999999999</v>
      </c>
      <c r="D292" s="99">
        <f ca="1">IFERROR(__xludf.DUMMYFUNCTION("$C286*IMPORTRANGE(""https://docs.google.com/spreadsheets/d/1xsp01RMmkav9iTy39Zaj_7tE9677EGlOJ14KU9TZn7I/"",""2004-2017!H776"")"),53.50743846)</f>
        <v>53.507438460000003</v>
      </c>
      <c r="E292" s="99">
        <f ca="1">IFERROR(__xludf.DUMMYFUNCTION("$C286*IMPORTRANGE(""https://docs.google.com/spreadsheets/d/1xsp01RMmkav9iTy39Zaj_7tE9677EGlOJ14KU9TZn7I/"",""2004-2017!T776"")"),35.97997725)</f>
        <v>35.979977249999997</v>
      </c>
      <c r="F292" s="99">
        <f ca="1">IFERROR(__xludf.DUMMYFUNCTION("$C286*IMPORTRANGE(""https://docs.google.com/spreadsheets/d/1xsp01RMmkav9iTy39Zaj_7tE9677EGlOJ14KU9TZn7I/"",""2004-2017!AC776"")"),8017.1418262635)</f>
        <v>8017.1418262634998</v>
      </c>
      <c r="G292" s="128" t="s">
        <v>8</v>
      </c>
      <c r="H292" s="80"/>
      <c r="I292" s="80"/>
      <c r="J292" s="80"/>
      <c r="K292" s="77"/>
      <c r="L292" s="78"/>
      <c r="M292" s="79"/>
      <c r="N292" s="79"/>
      <c r="O292" s="79"/>
      <c r="P292" s="79"/>
      <c r="Q292" s="77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</row>
    <row r="293" spans="1:29" ht="13.2" x14ac:dyDescent="0.25">
      <c r="A293" s="137" t="s">
        <v>290</v>
      </c>
      <c r="B293" s="106">
        <v>312</v>
      </c>
      <c r="C293" s="88">
        <f>136579/1000</f>
        <v>136.57900000000001</v>
      </c>
      <c r="D293" s="96">
        <f ca="1">IFERROR(__xludf.DUMMYFUNCTION("$C287*IMPORTRANGE(""https://docs.google.com/spreadsheets/d/1xsp01RMmkav9iTy39Zaj_7tE9677EGlOJ14KU9TZn7I/"",""2004-2017!H799"")"),106.45923313)</f>
        <v>106.45923313</v>
      </c>
      <c r="E293" s="96">
        <f ca="1">IFERROR(__xludf.DUMMYFUNCTION("$C287*IMPORTRANGE(""https://docs.google.com/spreadsheets/d/1xsp01RMmkav9iTy39Zaj_7tE9677EGlOJ14KU9TZn7I/"",""2004-2017!T799"")"),71.64797761)</f>
        <v>71.647977609999998</v>
      </c>
      <c r="F293" s="96">
        <f ca="1">IFERROR(__xludf.DUMMYFUNCTION("$C287*IMPORTRANGE(""https://docs.google.com/spreadsheets/d/1xsp01RMmkav9iTy39Zaj_7tE9677EGlOJ14KU9TZn7I/"",""2004-2017!AC799"")"),16056.9099301315)</f>
        <v>16056.9099301315</v>
      </c>
      <c r="G293" s="126" t="s">
        <v>8</v>
      </c>
      <c r="H293" s="80"/>
      <c r="I293" s="80"/>
      <c r="J293" s="80"/>
      <c r="K293" s="77"/>
      <c r="L293" s="78"/>
      <c r="M293" s="79"/>
      <c r="N293" s="79"/>
      <c r="O293" s="79"/>
      <c r="P293" s="79"/>
      <c r="Q293" s="77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</row>
    <row r="294" spans="1:29" ht="13.2" x14ac:dyDescent="0.25">
      <c r="A294" s="138" t="s">
        <v>291</v>
      </c>
      <c r="B294" s="108">
        <v>534</v>
      </c>
      <c r="C294" s="101">
        <f>68783.6/1000</f>
        <v>68.783600000000007</v>
      </c>
      <c r="D294" s="102">
        <f ca="1">IFERROR(__xludf.DUMMYFUNCTION("$C288*IMPORTRANGE(""https://docs.google.com/spreadsheets/d/1xsp01RMmkav9iTy39Zaj_7tE9677EGlOJ14KU9TZn7I/"",""2004-2017!H821"")"),52.116645884)</f>
        <v>52.116645884</v>
      </c>
      <c r="E294" s="102">
        <f ca="1">IFERROR(__xludf.DUMMYFUNCTION("$C288*IMPORTRANGE(""https://docs.google.com/spreadsheets/d/1xsp01RMmkav9iTy39Zaj_7tE9677EGlOJ14KU9TZn7I/"",""2004-2017!T821"")"),35.054186068)</f>
        <v>35.054186068</v>
      </c>
      <c r="F294" s="102">
        <f ca="1">IFERROR(__xludf.DUMMYFUNCTION("$C288*IMPORTRANGE(""https://docs.google.com/spreadsheets/d/1xsp01RMmkav9iTy39Zaj_7tE9677EGlOJ14KU9TZn7I/"",""2004-2017!AC821"")"),8117.1527735672)</f>
        <v>8117.1527735671998</v>
      </c>
      <c r="G294" s="129" t="s">
        <v>8</v>
      </c>
      <c r="H294" s="80"/>
      <c r="I294" s="80"/>
      <c r="J294" s="80"/>
      <c r="K294" s="77"/>
      <c r="L294" s="78"/>
      <c r="M294" s="79"/>
      <c r="N294" s="79"/>
      <c r="O294" s="79"/>
      <c r="P294" s="79"/>
      <c r="Q294" s="77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</row>
    <row r="295" spans="1:29" ht="13.2" x14ac:dyDescent="0.25">
      <c r="A295" s="120">
        <v>2007</v>
      </c>
      <c r="B295" s="121"/>
      <c r="C295" s="139"/>
      <c r="D295" s="139"/>
      <c r="E295" s="139"/>
      <c r="F295" s="139"/>
      <c r="G295" s="123"/>
      <c r="H295" s="80"/>
      <c r="I295" s="80"/>
      <c r="J295" s="80"/>
      <c r="K295" s="77"/>
      <c r="L295" s="78"/>
      <c r="M295" s="79"/>
      <c r="N295" s="79"/>
      <c r="O295" s="79"/>
      <c r="P295" s="79"/>
      <c r="Q295" s="77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</row>
    <row r="296" spans="1:29" ht="13.2" x14ac:dyDescent="0.25">
      <c r="A296" s="135" t="s">
        <v>292</v>
      </c>
      <c r="B296" s="105">
        <v>372</v>
      </c>
      <c r="C296" s="85">
        <f>30922/1000</f>
        <v>30.922000000000001</v>
      </c>
      <c r="D296" s="95">
        <f ca="1">IFERROR(__xludf.DUMMYFUNCTION("$C290*IMPORTRANGE(""https://docs.google.com/spreadsheets/d/1xsp01RMmkav9iTy39Zaj_7tE9677EGlOJ14KU9TZn7I/"",""2004-2017!H846"")"),23.8541584599999)</f>
        <v>23.854158459999901</v>
      </c>
      <c r="E296" s="95">
        <f ca="1">IFERROR(__xludf.DUMMYFUNCTION("$C290*IMPORTRANGE(""https://docs.google.com/spreadsheets/d/1xsp01RMmkav9iTy39Zaj_7tE9677EGlOJ14KU9TZn7I/"",""2004-2017!T846"")"),15.75970652)</f>
        <v>15.75970652</v>
      </c>
      <c r="F296" s="95">
        <f ca="1">IFERROR(__xludf.DUMMYFUNCTION("$C290*IMPORTRANGE(""https://docs.google.com/spreadsheets/d/1xsp01RMmkav9iTy39Zaj_7tE9677EGlOJ14KU9TZn7I/"",""2004-2017!AC846"")"),3729.811732766)</f>
        <v>3729.8117327660002</v>
      </c>
      <c r="G296" s="124" t="s">
        <v>8</v>
      </c>
      <c r="H296" s="80"/>
      <c r="I296" s="80"/>
      <c r="J296" s="80"/>
      <c r="K296" s="77"/>
      <c r="L296" s="78"/>
      <c r="M296" s="79"/>
      <c r="N296" s="79"/>
      <c r="O296" s="79"/>
      <c r="P296" s="79"/>
      <c r="Q296" s="77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</row>
    <row r="297" spans="1:29" ht="13.2" x14ac:dyDescent="0.25">
      <c r="A297" s="136" t="s">
        <v>293</v>
      </c>
      <c r="B297" s="107">
        <v>284</v>
      </c>
      <c r="C297" s="98">
        <f>31881.6/1000</f>
        <v>31.881599999999999</v>
      </c>
      <c r="D297" s="99">
        <f ca="1">IFERROR(__xludf.DUMMYFUNCTION("$C291*IMPORTRANGE(""https://docs.google.com/spreadsheets/d/1xsp01RMmkav9iTy39Zaj_7tE9677EGlOJ14KU9TZn7I/"",""2004-2017!H867"")"),24.281345376)</f>
        <v>24.281345376000001</v>
      </c>
      <c r="E297" s="99">
        <f ca="1">IFERROR(__xludf.DUMMYFUNCTION("$C291*IMPORTRANGE(""https://docs.google.com/spreadsheets/d/1xsp01RMmkav9iTy39Zaj_7tE9677EGlOJ14KU9TZn7I/"",""2004-2017!T867"")"),16.2516455999999)</f>
        <v>16.2516455999999</v>
      </c>
      <c r="F297" s="99">
        <f ca="1">IFERROR(__xludf.DUMMYFUNCTION("$C291*IMPORTRANGE(""https://docs.google.com/spreadsheets/d/1xsp01RMmkav9iTy39Zaj_7tE9677EGlOJ14KU9TZn7I/"",""2004-2017!AC867"")"),3845.3194481184)</f>
        <v>3845.3194481184</v>
      </c>
      <c r="G297" s="128" t="s">
        <v>8</v>
      </c>
      <c r="H297" s="80"/>
      <c r="I297" s="80"/>
      <c r="J297" s="80"/>
      <c r="K297" s="77"/>
      <c r="L297" s="78"/>
      <c r="M297" s="79"/>
      <c r="N297" s="79"/>
      <c r="O297" s="79"/>
      <c r="P297" s="79"/>
      <c r="Q297" s="77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</row>
    <row r="298" spans="1:29" ht="13.2" x14ac:dyDescent="0.25">
      <c r="A298" s="137" t="s">
        <v>294</v>
      </c>
      <c r="B298" s="106">
        <v>401</v>
      </c>
      <c r="C298" s="88">
        <f>77399.1/1000</f>
        <v>77.399100000000004</v>
      </c>
      <c r="D298" s="96">
        <f ca="1">IFERROR(__xludf.DUMMYFUNCTION("$C292*IMPORTRANGE(""https://docs.google.com/spreadsheets/d/1xsp01RMmkav9iTy39Zaj_7tE9677EGlOJ14KU9TZn7I/"",""2004-2017!H890"")"),58.2385657995)</f>
        <v>58.238565799500002</v>
      </c>
      <c r="E298" s="96">
        <f ca="1">IFERROR(__xludf.DUMMYFUNCTION("$C292*IMPORTRANGE(""https://docs.google.com/spreadsheets/d/1xsp01RMmkav9iTy39Zaj_7tE9677EGlOJ14KU9TZn7I/"",""2004-2017!T890"")"),39.8059701345)</f>
        <v>39.805970134500001</v>
      </c>
      <c r="F298" s="96">
        <f ca="1">IFERROR(__xludf.DUMMYFUNCTION("$C292*IMPORTRANGE(""https://docs.google.com/spreadsheets/d/1xsp01RMmkav9iTy39Zaj_7tE9677EGlOJ14KU9TZn7I/"",""2004-2017!AC890"")"),9081.6236306973)</f>
        <v>9081.6236306973005</v>
      </c>
      <c r="G298" s="126" t="s">
        <v>8</v>
      </c>
      <c r="H298" s="80"/>
      <c r="I298" s="80"/>
      <c r="J298" s="80"/>
      <c r="K298" s="77"/>
      <c r="L298" s="78"/>
      <c r="M298" s="79"/>
      <c r="N298" s="79"/>
      <c r="O298" s="79"/>
      <c r="P298" s="79"/>
      <c r="Q298" s="77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</row>
    <row r="299" spans="1:29" ht="13.2" x14ac:dyDescent="0.25">
      <c r="A299" s="136" t="s">
        <v>295</v>
      </c>
      <c r="B299" s="107">
        <v>379</v>
      </c>
      <c r="C299" s="98">
        <f>117753.8/1000</f>
        <v>117.7538</v>
      </c>
      <c r="D299" s="99">
        <f ca="1">IFERROR(__xludf.DUMMYFUNCTION("$C293*IMPORTRANGE(""https://docs.google.com/spreadsheets/d/1xsp01RMmkav9iTy39Zaj_7tE9677EGlOJ14KU9TZn7I/"",""2004-2017!H912"")"),87.0377212699999)</f>
        <v>87.037721269999906</v>
      </c>
      <c r="E299" s="99">
        <f ca="1">IFERROR(__xludf.DUMMYFUNCTION("$C293*IMPORTRANGE(""https://docs.google.com/spreadsheets/d/1xsp01RMmkav9iTy39Zaj_7tE9677EGlOJ14KU9TZn7I/"",""2004-2017!T912"")"),59.2113207919999)</f>
        <v>59.211320791999903</v>
      </c>
      <c r="F299" s="99">
        <f ca="1">IFERROR(__xludf.DUMMYFUNCTION("$C293*IMPORTRANGE(""https://docs.google.com/spreadsheets/d/1xsp01RMmkav9iTy39Zaj_7tE9677EGlOJ14KU9TZn7I/"",""2004-2017!AC912"")"),14006.8141567386)</f>
        <v>14006.814156738599</v>
      </c>
      <c r="G299" s="128" t="s">
        <v>8</v>
      </c>
      <c r="H299" s="80"/>
      <c r="I299" s="80"/>
      <c r="J299" s="80"/>
      <c r="K299" s="77"/>
      <c r="L299" s="78"/>
      <c r="M299" s="79"/>
      <c r="N299" s="79"/>
      <c r="O299" s="79"/>
      <c r="P299" s="79"/>
      <c r="Q299" s="77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</row>
    <row r="300" spans="1:29" ht="13.2" x14ac:dyDescent="0.25">
      <c r="A300" s="137" t="s">
        <v>296</v>
      </c>
      <c r="B300" s="106">
        <v>407</v>
      </c>
      <c r="C300" s="88">
        <f>80172.8/1000</f>
        <v>80.172800000000009</v>
      </c>
      <c r="D300" s="96">
        <f ca="1">IFERROR(__xludf.DUMMYFUNCTION("$C294*IMPORTRANGE(""https://docs.google.com/spreadsheets/d/1xsp01RMmkav9iTy39Zaj_7tE9677EGlOJ14KU9TZn7I/"",""2004-2017!H936"")"),59.330277184)</f>
        <v>59.330277184000003</v>
      </c>
      <c r="E300" s="96">
        <f ca="1">IFERROR(__xludf.DUMMYFUNCTION("$C294*IMPORTRANGE(""https://docs.google.com/spreadsheets/d/1xsp01RMmkav9iTy39Zaj_7tE9677EGlOJ14KU9TZn7I/"",""2004-2017!T936"")"),40.435953408)</f>
        <v>40.435953408000003</v>
      </c>
      <c r="F300" s="96">
        <f ca="1">IFERROR(__xludf.DUMMYFUNCTION("$C294*IMPORTRANGE(""https://docs.google.com/spreadsheets/d/1xsp01RMmkav9iTy39Zaj_7tE9677EGlOJ14KU9TZn7I/"",""2004-2017!AC936"")"),9678.4604961728)</f>
        <v>9678.4604961728</v>
      </c>
      <c r="G300" s="126" t="s">
        <v>8</v>
      </c>
      <c r="H300" s="80"/>
      <c r="I300" s="80"/>
      <c r="J300" s="80"/>
      <c r="K300" s="77"/>
      <c r="L300" s="78"/>
      <c r="M300" s="79"/>
      <c r="N300" s="79"/>
      <c r="O300" s="79"/>
      <c r="P300" s="79"/>
      <c r="Q300" s="77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</row>
    <row r="301" spans="1:29" ht="13.2" x14ac:dyDescent="0.25">
      <c r="A301" s="136" t="s">
        <v>297</v>
      </c>
      <c r="B301" s="107">
        <v>374</v>
      </c>
      <c r="C301" s="98">
        <f>35385.9/1000</f>
        <v>35.385899999999999</v>
      </c>
      <c r="D301" s="99">
        <f ca="1">IFERROR(__xludf.DUMMYFUNCTION("$C295*IMPORTRANGE(""https://docs.google.com/spreadsheets/d/1xsp01RMmkav9iTy39Zaj_7tE9677EGlOJ14KU9TZn7I/"",""2004-2017!H958"")"),26.3522335889999)</f>
        <v>26.352233588999901</v>
      </c>
      <c r="E301" s="99">
        <f ca="1">IFERROR(__xludf.DUMMYFUNCTION("$C295*IMPORTRANGE(""https://docs.google.com/spreadsheets/d/1xsp01RMmkav9iTy39Zaj_7tE9677EGlOJ14KU9TZn7I/"",""2004-2017!T958"")"),17.7676142489999)</f>
        <v>17.767614248999902</v>
      </c>
      <c r="F301" s="99">
        <f ca="1">IFERROR(__xludf.DUMMYFUNCTION("$C295*IMPORTRANGE(""https://docs.google.com/spreadsheets/d/1xsp01RMmkav9iTy39Zaj_7tE9677EGlOJ14KU9TZn7I/"",""2004-2017!AC958"")"),4353.8811713859)</f>
        <v>4353.8811713859004</v>
      </c>
      <c r="G301" s="128" t="s">
        <v>8</v>
      </c>
      <c r="H301" s="80"/>
      <c r="I301" s="80"/>
      <c r="J301" s="80"/>
      <c r="K301" s="77"/>
      <c r="L301" s="78"/>
      <c r="M301" s="79"/>
      <c r="N301" s="79"/>
      <c r="O301" s="79"/>
      <c r="P301" s="79"/>
      <c r="Q301" s="77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</row>
    <row r="302" spans="1:29" ht="13.2" x14ac:dyDescent="0.25">
      <c r="A302" s="137" t="s">
        <v>298</v>
      </c>
      <c r="B302" s="106">
        <v>373</v>
      </c>
      <c r="C302" s="88">
        <f>82278.9/1000</f>
        <v>82.278899999999993</v>
      </c>
      <c r="D302" s="96">
        <f ca="1">IFERROR(__xludf.DUMMYFUNCTION("$C296*IMPORTRANGE(""https://docs.google.com/spreadsheets/d/1xsp01RMmkav9iTy39Zaj_7tE9677EGlOJ14KU9TZn7I/"",""2004-2017!H981"")"),59.8303363185)</f>
        <v>59.830336318500002</v>
      </c>
      <c r="E302" s="96">
        <f ca="1">IFERROR(__xludf.DUMMYFUNCTION("$C296*IMPORTRANGE(""https://docs.google.com/spreadsheets/d/1xsp01RMmkav9iTy39Zaj_7tE9677EGlOJ14KU9TZn7I/"",""2004-2017!T981"")"),40.5124847819999)</f>
        <v>40.512484781999902</v>
      </c>
      <c r="F302" s="96">
        <f ca="1">IFERROR(__xludf.DUMMYFUNCTION("$C296*IMPORTRANGE(""https://docs.google.com/spreadsheets/d/1xsp01RMmkav9iTy39Zaj_7tE9677EGlOJ14KU9TZn7I/"",""2004-2017!AC981"")"),10029.7980745577)</f>
        <v>10029.798074557701</v>
      </c>
      <c r="G302" s="126" t="s">
        <v>8</v>
      </c>
      <c r="H302" s="80"/>
      <c r="I302" s="80"/>
      <c r="J302" s="80"/>
      <c r="K302" s="77"/>
      <c r="L302" s="78"/>
      <c r="M302" s="79"/>
      <c r="N302" s="79"/>
      <c r="O302" s="79"/>
      <c r="P302" s="79"/>
      <c r="Q302" s="77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</row>
    <row r="303" spans="1:29" ht="13.2" x14ac:dyDescent="0.25">
      <c r="A303" s="136" t="s">
        <v>299</v>
      </c>
      <c r="B303" s="107">
        <v>349</v>
      </c>
      <c r="C303" s="98">
        <f>31998/1000</f>
        <v>31.998000000000001</v>
      </c>
      <c r="D303" s="99">
        <f ca="1">IFERROR(__xludf.DUMMYFUNCTION("$C297*IMPORTRANGE(""https://docs.google.com/spreadsheets/d/1xsp01RMmkav9iTy39Zaj_7tE9677EGlOJ14KU9TZn7I/"",""2004-2017!H1005"")"),23.45549394)</f>
        <v>23.45549394</v>
      </c>
      <c r="E303" s="99">
        <f ca="1">IFERROR(__xludf.DUMMYFUNCTION("$C297*IMPORTRANGE(""https://docs.google.com/spreadsheets/d/1xsp01RMmkav9iTy39Zaj_7tE9677EGlOJ14KU9TZn7I/"",""2004-2017!T1005"")"),15.89084676)</f>
        <v>15.890846760000001</v>
      </c>
      <c r="F303" s="99">
        <f ca="1">IFERROR(__xludf.DUMMYFUNCTION("$C297*IMPORTRANGE(""https://docs.google.com/spreadsheets/d/1xsp01RMmkav9iTy39Zaj_7tE9677EGlOJ14KU9TZn7I/"",""2004-2017!AC1005"")"),3722.00736)</f>
        <v>3722.0073600000001</v>
      </c>
      <c r="G303" s="128" t="s">
        <v>8</v>
      </c>
      <c r="H303" s="80"/>
      <c r="I303" s="80"/>
      <c r="J303" s="80"/>
      <c r="K303" s="77"/>
      <c r="L303" s="78"/>
      <c r="M303" s="79"/>
      <c r="N303" s="79"/>
      <c r="O303" s="79"/>
      <c r="P303" s="79"/>
      <c r="Q303" s="77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</row>
    <row r="304" spans="1:29" ht="13.2" x14ac:dyDescent="0.25">
      <c r="A304" s="137" t="s">
        <v>300</v>
      </c>
      <c r="B304" s="106">
        <v>305</v>
      </c>
      <c r="C304" s="88">
        <f>31437.2/1000</f>
        <v>31.437200000000001</v>
      </c>
      <c r="D304" s="96">
        <f ca="1">IFERROR(__xludf.DUMMYFUNCTION("$C298*IMPORTRANGE(""https://docs.google.com/spreadsheets/d/1xsp01RMmkav9iTy39Zaj_7tE9677EGlOJ14KU9TZn7I/"",""2004-2017!H1026"")"),22.603661172)</f>
        <v>22.603661171999999</v>
      </c>
      <c r="E304" s="96">
        <f ca="1">IFERROR(__xludf.DUMMYFUNCTION("$C298*IMPORTRANGE(""https://docs.google.com/spreadsheets/d/1xsp01RMmkav9iTy39Zaj_7tE9677EGlOJ14KU9TZn7I/"",""2004-2017!T1026"")"),15.571473904)</f>
        <v>15.571473903999999</v>
      </c>
      <c r="F304" s="96">
        <f ca="1">IFERROR(__xludf.DUMMYFUNCTION("$C298*IMPORTRANGE(""https://docs.google.com/spreadsheets/d/1xsp01RMmkav9iTy39Zaj_7tE9677EGlOJ14KU9TZn7I/"",""2004-2017!AC1026"")"),3619.0505583116)</f>
        <v>3619.0505583116001</v>
      </c>
      <c r="G304" s="126" t="s">
        <v>8</v>
      </c>
      <c r="H304" s="80"/>
      <c r="I304" s="80"/>
      <c r="J304" s="80"/>
      <c r="K304" s="77"/>
      <c r="L304" s="78"/>
      <c r="M304" s="79"/>
      <c r="N304" s="79"/>
      <c r="O304" s="79"/>
      <c r="P304" s="79"/>
      <c r="Q304" s="77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</row>
    <row r="305" spans="1:29" ht="13.2" x14ac:dyDescent="0.25">
      <c r="A305" s="136" t="s">
        <v>301</v>
      </c>
      <c r="B305" s="107">
        <v>371</v>
      </c>
      <c r="C305" s="98">
        <f>41107.2/1000</f>
        <v>41.107199999999999</v>
      </c>
      <c r="D305" s="99">
        <f ca="1">IFERROR(__xludf.DUMMYFUNCTION("$C299*IMPORTRANGE(""https://docs.google.com/spreadsheets/d/1xsp01RMmkav9iTy39Zaj_7tE9677EGlOJ14KU9TZn7I/"",""2004-2017!H1050"")"),28.940702016)</f>
        <v>28.940702015999999</v>
      </c>
      <c r="E305" s="99">
        <f ca="1">IFERROR(__xludf.DUMMYFUNCTION("$C299*IMPORTRANGE(""https://docs.google.com/spreadsheets/d/1xsp01RMmkav9iTy39Zaj_7tE9677EGlOJ14KU9TZn7I/"",""2004-2017!T1050"")"),20.126907264)</f>
        <v>20.126907264</v>
      </c>
      <c r="F305" s="99">
        <f ca="1">IFERROR(__xludf.DUMMYFUNCTION("$C299*IMPORTRANGE(""https://docs.google.com/spreadsheets/d/1xsp01RMmkav9iTy39Zaj_7tE9677EGlOJ14KU9TZn7I/"",""2004-2017!AC1050"")"),4760.2138833216)</f>
        <v>4760.2138833216004</v>
      </c>
      <c r="G305" s="128" t="s">
        <v>8</v>
      </c>
      <c r="H305" s="80"/>
      <c r="I305" s="80"/>
      <c r="J305" s="80"/>
      <c r="K305" s="77"/>
      <c r="L305" s="78"/>
      <c r="M305" s="79"/>
      <c r="N305" s="79"/>
      <c r="O305" s="79"/>
      <c r="P305" s="79"/>
      <c r="Q305" s="77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</row>
    <row r="306" spans="1:29" ht="13.2" x14ac:dyDescent="0.25">
      <c r="A306" s="137" t="s">
        <v>302</v>
      </c>
      <c r="B306" s="106">
        <v>351</v>
      </c>
      <c r="C306" s="88">
        <f>242704.2/1000</f>
        <v>242.70420000000001</v>
      </c>
      <c r="D306" s="96">
        <f ca="1">IFERROR(__xludf.DUMMYFUNCTION("$C300*IMPORTRANGE(""https://docs.google.com/spreadsheets/d/1xsp01RMmkav9iTy39Zaj_7tE9677EGlOJ14KU9TZn7I/"",""2004-2017!H1073"")"),165.453880182)</f>
        <v>165.45388018200001</v>
      </c>
      <c r="E306" s="96">
        <f ca="1">IFERROR(__xludf.DUMMYFUNCTION("$C300*IMPORTRANGE(""https://docs.google.com/spreadsheets/d/1xsp01RMmkav9iTy39Zaj_7tE9677EGlOJ14KU9TZn7I/"",""2004-2017!T1073"")"),117.4688328)</f>
        <v>117.4688328</v>
      </c>
      <c r="F306" s="96">
        <f ca="1">IFERROR(__xludf.DUMMYFUNCTION("$C300*IMPORTRANGE(""https://docs.google.com/spreadsheets/d/1xsp01RMmkav9iTy39Zaj_7tE9677EGlOJ14KU9TZn7I/"",""2004-2017!AC1073"")"),26857.6477428168)</f>
        <v>26857.6477428168</v>
      </c>
      <c r="G306" s="126" t="s">
        <v>8</v>
      </c>
      <c r="H306" s="80"/>
      <c r="I306" s="80"/>
      <c r="J306" s="80"/>
      <c r="K306" s="77"/>
      <c r="L306" s="78"/>
      <c r="M306" s="79"/>
      <c r="N306" s="79"/>
      <c r="O306" s="79"/>
      <c r="P306" s="79"/>
      <c r="Q306" s="77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</row>
    <row r="307" spans="1:29" ht="13.2" x14ac:dyDescent="0.25">
      <c r="A307" s="138" t="s">
        <v>303</v>
      </c>
      <c r="B307" s="108">
        <v>451</v>
      </c>
      <c r="C307" s="101">
        <f>35026.1/1000</f>
        <v>35.0261</v>
      </c>
      <c r="D307" s="102">
        <f ca="1">IFERROR(__xludf.DUMMYFUNCTION("$C301*IMPORTRANGE(""https://docs.google.com/spreadsheets/d/1xsp01RMmkav9iTy39Zaj_7tE9677EGlOJ14KU9TZn7I/"",""2004-2017!H1095"")"),23.9781675379999)</f>
        <v>23.978167537999902</v>
      </c>
      <c r="E307" s="102">
        <f ca="1">IFERROR(__xludf.DUMMYFUNCTION("$C301*IMPORTRANGE(""https://docs.google.com/spreadsheets/d/1xsp01RMmkav9iTy39Zaj_7tE9677EGlOJ14KU9TZn7I/"",""2004-2017!T1095"")"),17.3277619309999)</f>
        <v>17.327761930999898</v>
      </c>
      <c r="F307" s="102">
        <f ca="1">IFERROR(__xludf.DUMMYFUNCTION("$C301*IMPORTRANGE(""https://docs.google.com/spreadsheets/d/1xsp01RMmkav9iTy39Zaj_7tE9677EGlOJ14KU9TZn7I/"",""2004-2017!AC1095"")"),3934.83209151305)</f>
        <v>3934.8320915130498</v>
      </c>
      <c r="G307" s="129" t="s">
        <v>8</v>
      </c>
      <c r="H307" s="80"/>
      <c r="I307" s="80"/>
      <c r="J307" s="80"/>
      <c r="K307" s="77"/>
      <c r="L307" s="78"/>
      <c r="M307" s="79"/>
      <c r="N307" s="79"/>
      <c r="O307" s="79"/>
      <c r="P307" s="79"/>
      <c r="Q307" s="77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</row>
    <row r="308" spans="1:29" ht="13.2" x14ac:dyDescent="0.25">
      <c r="A308" s="120">
        <v>2008</v>
      </c>
      <c r="B308" s="121"/>
      <c r="C308" s="139"/>
      <c r="D308" s="139"/>
      <c r="E308" s="139"/>
      <c r="F308" s="139"/>
      <c r="G308" s="123"/>
      <c r="H308" s="80"/>
      <c r="I308" s="80"/>
      <c r="J308" s="80"/>
      <c r="K308" s="77"/>
      <c r="L308" s="78"/>
      <c r="M308" s="79"/>
      <c r="N308" s="79"/>
      <c r="O308" s="79"/>
      <c r="P308" s="79"/>
      <c r="Q308" s="77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</row>
    <row r="309" spans="1:29" ht="13.2" x14ac:dyDescent="0.25">
      <c r="A309" s="135" t="s">
        <v>304</v>
      </c>
      <c r="B309" s="105">
        <v>327</v>
      </c>
      <c r="C309" s="85">
        <f>14221.5/1000</f>
        <v>14.221500000000001</v>
      </c>
      <c r="D309" s="95">
        <f ca="1">IFERROR(__xludf.DUMMYFUNCTION("$C303*IMPORTRANGE(""https://docs.google.com/spreadsheets/d/1xsp01RMmkav9iTy39Zaj_7tE9677EGlOJ14KU9TZn7I/"",""2004-2017!H1120"")"),9.6450213)</f>
        <v>9.6450212999999998</v>
      </c>
      <c r="E309" s="95">
        <f ca="1">IFERROR(__xludf.DUMMYFUNCTION("$C303*IMPORTRANGE(""https://docs.google.com/spreadsheets/d/1xsp01RMmkav9iTy39Zaj_7tE9677EGlOJ14KU9TZn7I/"",""2004-2017!T1120"")"),7.2082383825)</f>
        <v>7.2082383825000003</v>
      </c>
      <c r="F309" s="95">
        <f ca="1">IFERROR(__xludf.DUMMYFUNCTION("$C303*IMPORTRANGE(""https://docs.google.com/spreadsheets/d/1xsp01RMmkav9iTy39Zaj_7tE9677EGlOJ14KU9TZn7I/"",""2004-2017!AC1120"")"),1523.833753443)</f>
        <v>1523.833753443</v>
      </c>
      <c r="G309" s="124" t="s">
        <v>8</v>
      </c>
      <c r="H309" s="80"/>
      <c r="I309" s="80"/>
      <c r="J309" s="80"/>
      <c r="K309" s="77"/>
      <c r="L309" s="78"/>
      <c r="M309" s="79"/>
      <c r="N309" s="79"/>
      <c r="O309" s="79"/>
      <c r="P309" s="79"/>
      <c r="Q309" s="77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</row>
    <row r="310" spans="1:29" ht="13.2" x14ac:dyDescent="0.25">
      <c r="A310" s="136" t="s">
        <v>305</v>
      </c>
      <c r="B310" s="107">
        <v>336</v>
      </c>
      <c r="C310" s="98">
        <f>22193.1/1000</f>
        <v>22.193099999999998</v>
      </c>
      <c r="D310" s="99">
        <f ca="1">IFERROR(__xludf.DUMMYFUNCTION("$C304*IMPORTRANGE(""https://docs.google.com/spreadsheets/d/1xsp01RMmkav9iTy39Zaj_7tE9677EGlOJ14KU9TZn7I/"",""2004-2017!H1142"")"),15.0666736589999)</f>
        <v>15.0666736589999</v>
      </c>
      <c r="E310" s="99">
        <f ca="1">IFERROR(__xludf.DUMMYFUNCTION("$C304*IMPORTRANGE(""https://docs.google.com/spreadsheets/d/1xsp01RMmkav9iTy39Zaj_7tE9677EGlOJ14KU9TZn7I/"",""2004-2017!T1142"")"),11.3011703819999)</f>
        <v>11.301170381999899</v>
      </c>
      <c r="F310" s="99">
        <f ca="1">IFERROR(__xludf.DUMMYFUNCTION("$C304*IMPORTRANGE(""https://docs.google.com/spreadsheets/d/1xsp01RMmkav9iTy39Zaj_7tE9677EGlOJ14KU9TZn7I/"",""2004-2017!AC1142"")"),2382.20726522759)</f>
        <v>2382.2072652275901</v>
      </c>
      <c r="G310" s="128" t="s">
        <v>8</v>
      </c>
      <c r="H310" s="80"/>
      <c r="I310" s="80"/>
      <c r="J310" s="80"/>
      <c r="K310" s="77"/>
      <c r="L310" s="78"/>
      <c r="M310" s="79"/>
      <c r="N310" s="79"/>
      <c r="O310" s="79"/>
      <c r="P310" s="79"/>
      <c r="Q310" s="77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</row>
    <row r="311" spans="1:29" ht="13.2" x14ac:dyDescent="0.25">
      <c r="A311" s="137" t="s">
        <v>306</v>
      </c>
      <c r="B311" s="106">
        <v>327</v>
      </c>
      <c r="C311" s="88">
        <f>45106.8/1000</f>
        <v>45.1068</v>
      </c>
      <c r="D311" s="96">
        <f ca="1">IFERROR(__xludf.DUMMYFUNCTION("$C305*IMPORTRANGE(""https://docs.google.com/spreadsheets/d/1xsp01RMmkav9iTy39Zaj_7tE9677EGlOJ14KU9TZn7I/"",""2004-2017!H1164"")"),28.892258604)</f>
        <v>28.892258603999998</v>
      </c>
      <c r="E311" s="96">
        <f ca="1">IFERROR(__xludf.DUMMYFUNCTION("$C305*IMPORTRANGE(""https://docs.google.com/spreadsheets/d/1xsp01RMmkav9iTy39Zaj_7tE9677EGlOJ14KU9TZn7I/"",""2004-2017!T1164"")"),22.52408058)</f>
        <v>22.52408058</v>
      </c>
      <c r="F311" s="96">
        <f ca="1">IFERROR(__xludf.DUMMYFUNCTION("$C305*IMPORTRANGE(""https://docs.google.com/spreadsheets/d/1xsp01RMmkav9iTy39Zaj_7tE9677EGlOJ14KU9TZn7I/"",""2004-2017!AC1164"")"),4514.2886342136)</f>
        <v>4514.2886342135998</v>
      </c>
      <c r="G311" s="126" t="s">
        <v>8</v>
      </c>
      <c r="H311" s="80"/>
      <c r="I311" s="80"/>
      <c r="J311" s="80"/>
      <c r="K311" s="77"/>
      <c r="L311" s="78"/>
      <c r="M311" s="79"/>
      <c r="N311" s="79"/>
      <c r="O311" s="79"/>
      <c r="P311" s="79"/>
      <c r="Q311" s="77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</row>
    <row r="312" spans="1:29" ht="13.2" x14ac:dyDescent="0.25">
      <c r="A312" s="136" t="s">
        <v>307</v>
      </c>
      <c r="B312" s="107">
        <v>373</v>
      </c>
      <c r="C312" s="98">
        <f>45936.7/1000</f>
        <v>45.936699999999995</v>
      </c>
      <c r="D312" s="99">
        <f ca="1">IFERROR(__xludf.DUMMYFUNCTION("$C306*IMPORTRANGE(""https://docs.google.com/spreadsheets/d/1xsp01RMmkav9iTy39Zaj_7tE9677EGlOJ14KU9TZn7I/"",""2004-2017!H1186"")"),29.1904760149999)</f>
        <v>29.190476014999899</v>
      </c>
      <c r="E312" s="99">
        <f ca="1">IFERROR(__xludf.DUMMYFUNCTION("$C306*IMPORTRANGE(""https://docs.google.com/spreadsheets/d/1xsp01RMmkav9iTy39Zaj_7tE9677EGlOJ14KU9TZn7I/"",""2004-2017!T1186"")"),23.1732276819999)</f>
        <v>23.173227681999901</v>
      </c>
      <c r="F312" s="99">
        <f ca="1">IFERROR(__xludf.DUMMYFUNCTION("$C306*IMPORTRANGE(""https://docs.google.com/spreadsheets/d/1xsp01RMmkav9iTy39Zaj_7tE9677EGlOJ14KU9TZn7I/"",""2004-2017!AC1186"")"),4707.59315381009)</f>
        <v>4707.5931538100904</v>
      </c>
      <c r="G312" s="128" t="s">
        <v>8</v>
      </c>
      <c r="H312" s="80"/>
      <c r="I312" s="80"/>
      <c r="J312" s="80"/>
      <c r="K312" s="77"/>
      <c r="L312" s="78"/>
      <c r="M312" s="79"/>
      <c r="N312" s="79"/>
      <c r="O312" s="79"/>
      <c r="P312" s="79"/>
      <c r="Q312" s="77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</row>
    <row r="313" spans="1:29" ht="13.2" x14ac:dyDescent="0.25">
      <c r="A313" s="137" t="s">
        <v>308</v>
      </c>
      <c r="B313" s="106">
        <v>296</v>
      </c>
      <c r="C313" s="88">
        <f>19381.6/1000</f>
        <v>19.381599999999999</v>
      </c>
      <c r="D313" s="96">
        <f ca="1">IFERROR(__xludf.DUMMYFUNCTION("$C307*IMPORTRANGE(""https://docs.google.com/spreadsheets/d/1xsp01RMmkav9iTy39Zaj_7tE9677EGlOJ14KU9TZn7I/"",""2004-2017!H1208"")"),12.475354472)</f>
        <v>12.475354471999999</v>
      </c>
      <c r="E313" s="96">
        <f ca="1">IFERROR(__xludf.DUMMYFUNCTION("$C307*IMPORTRANGE(""https://docs.google.com/spreadsheets/d/1xsp01RMmkav9iTy39Zaj_7tE9677EGlOJ14KU9TZn7I/"",""2004-2017!T1208"")"),9.8313166)</f>
        <v>9.8313165999999992</v>
      </c>
      <c r="F313" s="96">
        <f ca="1">IFERROR(__xludf.DUMMYFUNCTION("$C307*IMPORTRANGE(""https://docs.google.com/spreadsheets/d/1xsp01RMmkav9iTy39Zaj_7tE9677EGlOJ14KU9TZn7I/"",""2004-2017!AC1208"")"),2027.70305014479)</f>
        <v>2027.70305014479</v>
      </c>
      <c r="G313" s="126" t="s">
        <v>8</v>
      </c>
      <c r="H313" s="80"/>
      <c r="I313" s="80"/>
      <c r="J313" s="80"/>
      <c r="K313" s="77"/>
      <c r="L313" s="78"/>
      <c r="M313" s="79"/>
      <c r="N313" s="79"/>
      <c r="O313" s="79"/>
      <c r="P313" s="79"/>
      <c r="Q313" s="77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</row>
    <row r="314" spans="1:29" ht="13.2" x14ac:dyDescent="0.25">
      <c r="A314" s="136" t="s">
        <v>309</v>
      </c>
      <c r="B314" s="107">
        <v>345</v>
      </c>
      <c r="C314" s="98">
        <f>87126/1000</f>
        <v>87.126000000000005</v>
      </c>
      <c r="D314" s="99">
        <f ca="1">IFERROR(__xludf.DUMMYFUNCTION("$C308*IMPORTRANGE(""https://docs.google.com/spreadsheets/d/1xsp01RMmkav9iTy39Zaj_7tE9677EGlOJ14KU9TZn7I/"",""2004-2017!H1230"")"),56.0437995)</f>
        <v>56.043799499999999</v>
      </c>
      <c r="E314" s="99">
        <f ca="1">IFERROR(__xludf.DUMMYFUNCTION("$C308*IMPORTRANGE(""https://docs.google.com/spreadsheets/d/1xsp01RMmkav9iTy39Zaj_7tE9677EGlOJ14KU9TZn7I/"",""2004-2017!T1230"")"),44.3297088)</f>
        <v>44.329708799999999</v>
      </c>
      <c r="F314" s="99">
        <f ca="1">IFERROR(__xludf.DUMMYFUNCTION("$C308*IMPORTRANGE(""https://docs.google.com/spreadsheets/d/1xsp01RMmkav9iTy39Zaj_7tE9677EGlOJ14KU9TZn7I/"",""2004-2017!AC1230"")"),9349.490885748)</f>
        <v>9349.4908857480004</v>
      </c>
      <c r="G314" s="128" t="s">
        <v>8</v>
      </c>
      <c r="H314" s="80"/>
      <c r="I314" s="80"/>
      <c r="J314" s="80"/>
      <c r="K314" s="77"/>
      <c r="L314" s="78"/>
      <c r="M314" s="79"/>
      <c r="N314" s="79"/>
      <c r="O314" s="79"/>
      <c r="P314" s="79"/>
      <c r="Q314" s="77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</row>
    <row r="315" spans="1:29" ht="13.2" x14ac:dyDescent="0.25">
      <c r="A315" s="137" t="s">
        <v>310</v>
      </c>
      <c r="B315" s="106">
        <v>338</v>
      </c>
      <c r="C315" s="88">
        <f>18245/1000</f>
        <v>18.245000000000001</v>
      </c>
      <c r="D315" s="96">
        <f ca="1">IFERROR(__xludf.DUMMYFUNCTION("$C309*IMPORTRANGE(""https://docs.google.com/spreadsheets/d/1xsp01RMmkav9iTy39Zaj_7tE9677EGlOJ14KU9TZn7I/"",""2004-2017!H1253"")"),11.5925081)</f>
        <v>11.5925081</v>
      </c>
      <c r="E315" s="96">
        <f ca="1">IFERROR(__xludf.DUMMYFUNCTION("$C309*IMPORTRANGE(""https://docs.google.com/spreadsheets/d/1xsp01RMmkav9iTy39Zaj_7tE9677EGlOJ14KU9TZn7I/"",""2004-2017!T1253"")"),9.169663325)</f>
        <v>9.1696633250000001</v>
      </c>
      <c r="F315" s="96">
        <f ca="1">IFERROR(__xludf.DUMMYFUNCTION("$C309*IMPORTRANGE(""https://docs.google.com/spreadsheets/d/1xsp01RMmkav9iTy39Zaj_7tE9677EGlOJ14KU9TZn7I/"",""2004-2017!AC1253"")"),1952.3609508775)</f>
        <v>1952.3609508775</v>
      </c>
      <c r="G315" s="126" t="s">
        <v>8</v>
      </c>
      <c r="H315" s="80"/>
      <c r="I315" s="80"/>
      <c r="J315" s="80"/>
      <c r="K315" s="77"/>
      <c r="L315" s="78"/>
      <c r="M315" s="79"/>
      <c r="N315" s="79"/>
      <c r="O315" s="79"/>
      <c r="P315" s="79"/>
      <c r="Q315" s="77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</row>
    <row r="316" spans="1:29" ht="13.2" x14ac:dyDescent="0.25">
      <c r="A316" s="136" t="s">
        <v>311</v>
      </c>
      <c r="B316" s="107">
        <v>264</v>
      </c>
      <c r="C316" s="98">
        <f>22070.7/1000</f>
        <v>22.070700000000002</v>
      </c>
      <c r="D316" s="99">
        <f ca="1">IFERROR(__xludf.DUMMYFUNCTION("$C310*IMPORTRANGE(""https://docs.google.com/spreadsheets/d/1xsp01RMmkav9iTy39Zaj_7tE9677EGlOJ14KU9TZn7I/"",""2004-2017!H1275"")"),14.999689134)</f>
        <v>14.999689134</v>
      </c>
      <c r="E316" s="99">
        <f ca="1">IFERROR(__xludf.DUMMYFUNCTION("$C310*IMPORTRANGE(""https://docs.google.com/spreadsheets/d/1xsp01RMmkav9iTy39Zaj_7tE9677EGlOJ14KU9TZn7I/"",""2004-2017!T1275"")"),11.822832576)</f>
        <v>11.822832576</v>
      </c>
      <c r="F316" s="99">
        <f ca="1">IFERROR(__xludf.DUMMYFUNCTION("$C310*IMPORTRANGE(""https://docs.google.com/spreadsheets/d/1xsp01RMmkav9iTy39Zaj_7tE9677EGlOJ14KU9TZn7I/"",""2004-2017!AC1275"")"),2417.6245000707)</f>
        <v>2417.6245000706999</v>
      </c>
      <c r="G316" s="128" t="s">
        <v>8</v>
      </c>
      <c r="H316" s="80"/>
      <c r="I316" s="80"/>
      <c r="J316" s="80"/>
      <c r="K316" s="77"/>
      <c r="L316" s="78"/>
      <c r="M316" s="79"/>
      <c r="N316" s="79"/>
      <c r="O316" s="79"/>
      <c r="P316" s="79"/>
      <c r="Q316" s="77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</row>
    <row r="317" spans="1:29" ht="13.2" x14ac:dyDescent="0.25">
      <c r="A317" s="137" t="s">
        <v>312</v>
      </c>
      <c r="B317" s="106">
        <v>295</v>
      </c>
      <c r="C317" s="88">
        <f>30913.2/1000</f>
        <v>30.9132</v>
      </c>
      <c r="D317" s="96">
        <f ca="1">IFERROR(__xludf.DUMMYFUNCTION("$C311*IMPORTRANGE(""https://docs.google.com/spreadsheets/d/1xsp01RMmkav9iTy39Zaj_7tE9677EGlOJ14KU9TZn7I/"",""2004-2017!H1298"")"),21.525479424)</f>
        <v>21.525479424</v>
      </c>
      <c r="E317" s="96">
        <f ca="1">IFERROR(__xludf.DUMMYFUNCTION("$C311*IMPORTRANGE(""https://docs.google.com/spreadsheets/d/1xsp01RMmkav9iTy39Zaj_7tE9677EGlOJ14KU9TZn7I/"",""2004-2017!T1298"")"),17.252502354)</f>
        <v>17.252502354000001</v>
      </c>
      <c r="F317" s="96">
        <f ca="1">IFERROR(__xludf.DUMMYFUNCTION("$C311*IMPORTRANGE(""https://docs.google.com/spreadsheets/d/1xsp01RMmkav9iTy39Zaj_7tE9677EGlOJ14KU9TZn7I/"",""2004-2017!AC1298"")"),3293.0286763698)</f>
        <v>3293.0286763698</v>
      </c>
      <c r="G317" s="126" t="s">
        <v>8</v>
      </c>
      <c r="H317" s="80"/>
      <c r="I317" s="80"/>
      <c r="J317" s="80"/>
      <c r="K317" s="77"/>
      <c r="L317" s="78"/>
      <c r="M317" s="79"/>
      <c r="N317" s="79"/>
      <c r="O317" s="79"/>
      <c r="P317" s="79"/>
      <c r="Q317" s="77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</row>
    <row r="318" spans="1:29" ht="13.2" x14ac:dyDescent="0.25">
      <c r="A318" s="136" t="s">
        <v>313</v>
      </c>
      <c r="B318" s="107">
        <v>243</v>
      </c>
      <c r="C318" s="98">
        <f>22397.7/1000</f>
        <v>22.3977</v>
      </c>
      <c r="D318" s="99">
        <f ca="1">IFERROR(__xludf.DUMMYFUNCTION("$C312*IMPORTRANGE(""https://docs.google.com/spreadsheets/d/1xsp01RMmkav9iTy39Zaj_7tE9677EGlOJ14KU9TZn7I/"",""2004-2017!H1322"")"),16.686062523)</f>
        <v>16.686062523</v>
      </c>
      <c r="E318" s="99">
        <f ca="1">IFERROR(__xludf.DUMMYFUNCTION("$C312*IMPORTRANGE(""https://docs.google.com/spreadsheets/d/1xsp01RMmkav9iTy39Zaj_7tE9677EGlOJ14KU9TZn7I/"",""2004-2017!T1322"")"),13.074433398)</f>
        <v>13.074433398</v>
      </c>
      <c r="F318" s="99">
        <f ca="1">IFERROR(__xludf.DUMMYFUNCTION("$C312*IMPORTRANGE(""https://docs.google.com/spreadsheets/d/1xsp01RMmkav9iTy39Zaj_7tE9677EGlOJ14KU9TZn7I/"",""2004-2017!AC1322"")"),2264.4074252046)</f>
        <v>2264.4074252045998</v>
      </c>
      <c r="G318" s="128" t="s">
        <v>8</v>
      </c>
      <c r="H318" s="80"/>
      <c r="I318" s="80"/>
      <c r="J318" s="80"/>
      <c r="K318" s="77"/>
      <c r="L318" s="78"/>
      <c r="M318" s="79"/>
      <c r="N318" s="79"/>
      <c r="O318" s="79"/>
      <c r="P318" s="79"/>
      <c r="Q318" s="77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</row>
    <row r="319" spans="1:29" ht="13.2" x14ac:dyDescent="0.25">
      <c r="A319" s="137" t="s">
        <v>314</v>
      </c>
      <c r="B319" s="106">
        <v>271</v>
      </c>
      <c r="C319" s="88">
        <f>13368.5/1000</f>
        <v>13.368499999999999</v>
      </c>
      <c r="D319" s="96">
        <f ca="1">IFERROR(__xludf.DUMMYFUNCTION("$C313*IMPORTRANGE(""https://docs.google.com/spreadsheets/d/1xsp01RMmkav9iTy39Zaj_7tE9677EGlOJ14KU9TZn7I/"",""2004-2017!H1343"")"),10.52929797)</f>
        <v>10.52929797</v>
      </c>
      <c r="E319" s="96">
        <f ca="1">IFERROR(__xludf.DUMMYFUNCTION("$C313*IMPORTRANGE(""https://docs.google.com/spreadsheets/d/1xsp01RMmkav9iTy39Zaj_7tE9677EGlOJ14KU9TZn7I/"",""2004-2017!T1343"")"),8.70416350749999)</f>
        <v>8.7041635074999899</v>
      </c>
      <c r="F319" s="96">
        <f ca="1">IFERROR(__xludf.DUMMYFUNCTION("$C313*IMPORTRANGE(""https://docs.google.com/spreadsheets/d/1xsp01RMmkav9iTy39Zaj_7tE9677EGlOJ14KU9TZn7I/"",""2004-2017!AC1343"")"),1294.17778142124)</f>
        <v>1294.1777814212401</v>
      </c>
      <c r="G319" s="126" t="s">
        <v>8</v>
      </c>
      <c r="H319" s="80"/>
      <c r="I319" s="80"/>
      <c r="J319" s="80"/>
      <c r="K319" s="77"/>
      <c r="L319" s="78"/>
      <c r="M319" s="79"/>
      <c r="N319" s="79"/>
      <c r="O319" s="79"/>
      <c r="P319" s="79"/>
      <c r="Q319" s="77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</row>
    <row r="320" spans="1:29" ht="13.2" x14ac:dyDescent="0.25">
      <c r="A320" s="138" t="s">
        <v>315</v>
      </c>
      <c r="B320" s="108">
        <v>403</v>
      </c>
      <c r="C320" s="101">
        <f>24702.4/1000</f>
        <v>24.702400000000001</v>
      </c>
      <c r="D320" s="102">
        <f ca="1">IFERROR(__xludf.DUMMYFUNCTION("$C314*IMPORTRANGE(""https://docs.google.com/spreadsheets/d/1xsp01RMmkav9iTy39Zaj_7tE9677EGlOJ14KU9TZn7I/"",""2004-2017!H1367"")"),17.723230928)</f>
        <v>17.723230928</v>
      </c>
      <c r="E320" s="102">
        <f ca="1">IFERROR(__xludf.DUMMYFUNCTION("$C314*IMPORTRANGE(""https://docs.google.com/spreadsheets/d/1xsp01RMmkav9iTy39Zaj_7tE9677EGlOJ14KU9TZn7I/"",""2004-2017!T1367"")"),16.693140848)</f>
        <v>16.693140847999999</v>
      </c>
      <c r="F320" s="102">
        <f ca="1">IFERROR(__xludf.DUMMYFUNCTION("$C314*IMPORTRANGE(""https://docs.google.com/spreadsheets/d/1xsp01RMmkav9iTy39Zaj_7tE9677EGlOJ14KU9TZn7I/"",""2004-2017!AC1367"")"),2242.2367738928)</f>
        <v>2242.2367738928001</v>
      </c>
      <c r="G320" s="129" t="s">
        <v>8</v>
      </c>
      <c r="H320" s="80"/>
      <c r="I320" s="80"/>
      <c r="J320" s="80"/>
      <c r="K320" s="77"/>
      <c r="L320" s="78"/>
      <c r="M320" s="79"/>
      <c r="N320" s="79"/>
      <c r="O320" s="79"/>
      <c r="P320" s="79"/>
      <c r="Q320" s="77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</row>
    <row r="321" spans="1:29" ht="13.2" x14ac:dyDescent="0.25">
      <c r="A321" s="120">
        <v>2009</v>
      </c>
      <c r="B321" s="121"/>
      <c r="C321" s="139"/>
      <c r="D321" s="139"/>
      <c r="E321" s="139"/>
      <c r="F321" s="139"/>
      <c r="G321" s="123"/>
      <c r="H321" s="80"/>
      <c r="I321" s="80"/>
      <c r="J321" s="80"/>
      <c r="K321" s="77"/>
      <c r="L321" s="78"/>
      <c r="M321" s="79"/>
      <c r="N321" s="79"/>
      <c r="O321" s="79"/>
      <c r="P321" s="79"/>
      <c r="Q321" s="77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</row>
    <row r="322" spans="1:29" ht="13.2" x14ac:dyDescent="0.25">
      <c r="A322" s="135" t="s">
        <v>316</v>
      </c>
      <c r="B322" s="105">
        <v>219</v>
      </c>
      <c r="C322" s="85">
        <f>17406.8/1000</f>
        <v>17.4068</v>
      </c>
      <c r="D322" s="95">
        <f ca="1">IFERROR(__xludf.DUMMYFUNCTION("$C316*IMPORTRANGE(""https://docs.google.com/spreadsheets/d/1xsp01RMmkav9iTy39Zaj_7tE9677EGlOJ14KU9TZn7I/"",""2004-2017!H1391"")"),13.177992008)</f>
        <v>13.177992008</v>
      </c>
      <c r="E322" s="95">
        <f ca="1">IFERROR(__xludf.DUMMYFUNCTION("$C316*IMPORTRANGE(""https://docs.google.com/spreadsheets/d/1xsp01RMmkav9iTy39Zaj_7tE9677EGlOJ14KU9TZn7I/"",""2004-2017!T1391"")"),11.968828646)</f>
        <v>11.968828646</v>
      </c>
      <c r="F322" s="95">
        <f ca="1">IFERROR(__xludf.DUMMYFUNCTION("$C316*IMPORTRANGE(""https://docs.google.com/spreadsheets/d/1xsp01RMmkav9iTy39Zaj_7tE9677EGlOJ14KU9TZn7I/"",""2004-2017!AC1391"")"),1565.3065422204)</f>
        <v>1565.3065422203999</v>
      </c>
      <c r="G322" s="124" t="s">
        <v>8</v>
      </c>
      <c r="H322" s="80"/>
      <c r="I322" s="80"/>
      <c r="J322" s="80"/>
      <c r="K322" s="77"/>
      <c r="L322" s="78"/>
      <c r="M322" s="79"/>
      <c r="N322" s="79"/>
      <c r="O322" s="79"/>
      <c r="P322" s="79"/>
      <c r="Q322" s="77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</row>
    <row r="323" spans="1:29" ht="13.2" x14ac:dyDescent="0.25">
      <c r="A323" s="136" t="s">
        <v>317</v>
      </c>
      <c r="B323" s="107">
        <v>220</v>
      </c>
      <c r="C323" s="98">
        <f>27831.8/1000</f>
        <v>27.831799999999998</v>
      </c>
      <c r="D323" s="99">
        <f ca="1">IFERROR(__xludf.DUMMYFUNCTION("$C317*IMPORTRANGE(""https://docs.google.com/spreadsheets/d/1xsp01RMmkav9iTy39Zaj_7tE9677EGlOJ14KU9TZn7I/"",""2004-2017!H1412"")"),21.6838945389999)</f>
        <v>21.683894538999901</v>
      </c>
      <c r="E323" s="99">
        <f ca="1">IFERROR(__xludf.DUMMYFUNCTION("$C317*IMPORTRANGE(""https://docs.google.com/spreadsheets/d/1xsp01RMmkav9iTy39Zaj_7tE9677EGlOJ14KU9TZn7I/"",""2004-2017!T1412"")"),19.388188516)</f>
        <v>19.388188516</v>
      </c>
      <c r="F323" s="99">
        <f ca="1">IFERROR(__xludf.DUMMYFUNCTION("$C317*IMPORTRANGE(""https://docs.google.com/spreadsheets/d/1xsp01RMmkav9iTy39Zaj_7tE9677EGlOJ14KU9TZn7I/"",""2004-2017!AC1412"")"),2557.4640880841)</f>
        <v>2557.4640880840998</v>
      </c>
      <c r="G323" s="128" t="s">
        <v>8</v>
      </c>
      <c r="H323" s="80"/>
      <c r="I323" s="80"/>
      <c r="J323" s="80"/>
      <c r="K323" s="77"/>
      <c r="L323" s="78"/>
      <c r="M323" s="79"/>
      <c r="N323" s="79"/>
      <c r="O323" s="79"/>
      <c r="P323" s="79"/>
      <c r="Q323" s="77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</row>
    <row r="324" spans="1:29" ht="13.2" x14ac:dyDescent="0.25">
      <c r="A324" s="137" t="s">
        <v>318</v>
      </c>
      <c r="B324" s="106">
        <v>269</v>
      </c>
      <c r="C324" s="88">
        <f>15672.5/1000</f>
        <v>15.672499999999999</v>
      </c>
      <c r="D324" s="96">
        <f ca="1">IFERROR(__xludf.DUMMYFUNCTION("$C318*IMPORTRANGE(""https://docs.google.com/spreadsheets/d/1xsp01RMmkav9iTy39Zaj_7tE9677EGlOJ14KU9TZn7I/"",""2004-2017!H1435"")"),12.0515256)</f>
        <v>12.0515256</v>
      </c>
      <c r="E324" s="96">
        <f ca="1">IFERROR(__xludf.DUMMYFUNCTION("$C318*IMPORTRANGE(""https://docs.google.com/spreadsheets/d/1xsp01RMmkav9iTy39Zaj_7tE9677EGlOJ14KU9TZn7I/"",""2004-2017!T1435"")"),11.0725428875)</f>
        <v>11.072542887499999</v>
      </c>
      <c r="F324" s="96">
        <f ca="1">IFERROR(__xludf.DUMMYFUNCTION("$C318*IMPORTRANGE(""https://docs.google.com/spreadsheets/d/1xsp01RMmkav9iTy39Zaj_7tE9677EGlOJ14KU9TZn7I/"",""2004-2017!AC1435"")"),1536.45352966374)</f>
        <v>1536.45352966374</v>
      </c>
      <c r="G324" s="126" t="s">
        <v>8</v>
      </c>
      <c r="H324" s="80"/>
      <c r="I324" s="80"/>
      <c r="J324" s="80"/>
      <c r="K324" s="77"/>
      <c r="L324" s="78"/>
      <c r="M324" s="79"/>
      <c r="N324" s="79"/>
      <c r="O324" s="79"/>
      <c r="P324" s="79"/>
      <c r="Q324" s="77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</row>
    <row r="325" spans="1:29" ht="13.2" x14ac:dyDescent="0.25">
      <c r="A325" s="136" t="s">
        <v>319</v>
      </c>
      <c r="B325" s="107">
        <v>211</v>
      </c>
      <c r="C325" s="98">
        <f>11945.7/1000</f>
        <v>11.9457</v>
      </c>
      <c r="D325" s="99">
        <f ca="1">IFERROR(__xludf.DUMMYFUNCTION("$C319*IMPORTRANGE(""https://docs.google.com/spreadsheets/d/1xsp01RMmkav9iTy39Zaj_7tE9677EGlOJ14KU9TZn7I/"",""2004-2017!H1458"")"),9.02885870249999)</f>
        <v>9.0288587024999902</v>
      </c>
      <c r="E325" s="99">
        <f ca="1">IFERROR(__xludf.DUMMYFUNCTION("$C319*IMPORTRANGE(""https://docs.google.com/spreadsheets/d/1xsp01RMmkav9iTy39Zaj_7tE9677EGlOJ14KU9TZn7I/"",""2004-2017!T1458"")"),8.1120262275)</f>
        <v>8.1120262274999995</v>
      </c>
      <c r="F325" s="99">
        <f ca="1">IFERROR(__xludf.DUMMYFUNCTION("$C319*IMPORTRANGE(""https://docs.google.com/spreadsheets/d/1xsp01RMmkav9iTy39Zaj_7tE9677EGlOJ14KU9TZn7I/"",""2004-2017!AC1458"")"),1182.92296041855)</f>
        <v>1182.92296041855</v>
      </c>
      <c r="G325" s="128" t="s">
        <v>8</v>
      </c>
      <c r="H325" s="80"/>
      <c r="I325" s="80"/>
      <c r="J325" s="80"/>
      <c r="K325" s="77"/>
      <c r="L325" s="78"/>
      <c r="M325" s="79"/>
      <c r="N325" s="79"/>
      <c r="O325" s="79"/>
      <c r="P325" s="79"/>
      <c r="Q325" s="77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</row>
    <row r="326" spans="1:29" ht="13.2" x14ac:dyDescent="0.25">
      <c r="A326" s="137" t="s">
        <v>320</v>
      </c>
      <c r="B326" s="106">
        <v>197</v>
      </c>
      <c r="C326" s="88">
        <f>39611.8/1000</f>
        <v>39.611800000000002</v>
      </c>
      <c r="D326" s="96">
        <f ca="1">IFERROR(__xludf.DUMMYFUNCTION("$C320*IMPORTRANGE(""https://docs.google.com/spreadsheets/d/1xsp01RMmkav9iTy39Zaj_7tE9677EGlOJ14KU9TZn7I/"",""2004-2017!H1480"")"),29.04931353)</f>
        <v>29.049313529999999</v>
      </c>
      <c r="E326" s="96">
        <f ca="1">IFERROR(__xludf.DUMMYFUNCTION("$C320*IMPORTRANGE(""https://docs.google.com/spreadsheets/d/1xsp01RMmkav9iTy39Zaj_7tE9677EGlOJ14KU9TZn7I/"",""2004-2017!T1480"")"),25.940183348)</f>
        <v>25.940183348000001</v>
      </c>
      <c r="F326" s="96">
        <f ca="1">IFERROR(__xludf.DUMMYFUNCTION("$C320*IMPORTRANGE(""https://docs.google.com/spreadsheets/d/1xsp01RMmkav9iTy39Zaj_7tE9677EGlOJ14KU9TZn7I/"",""2004-2017!AC1480"")"),3807.3672617646)</f>
        <v>3807.3672617645998</v>
      </c>
      <c r="G326" s="126" t="s">
        <v>8</v>
      </c>
      <c r="H326" s="80"/>
      <c r="I326" s="80"/>
      <c r="J326" s="80"/>
      <c r="K326" s="77"/>
      <c r="L326" s="78"/>
      <c r="M326" s="79"/>
      <c r="N326" s="79"/>
      <c r="O326" s="79"/>
      <c r="P326" s="79"/>
      <c r="Q326" s="77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</row>
    <row r="327" spans="1:29" ht="13.2" x14ac:dyDescent="0.25">
      <c r="A327" s="136" t="s">
        <v>321</v>
      </c>
      <c r="B327" s="107">
        <v>240</v>
      </c>
      <c r="C327" s="98">
        <f>12095.6/1000</f>
        <v>12.095600000000001</v>
      </c>
      <c r="D327" s="99">
        <f ca="1">IFERROR(__xludf.DUMMYFUNCTION("$C321*IMPORTRANGE(""https://docs.google.com/spreadsheets/d/1xsp01RMmkav9iTy39Zaj_7tE9677EGlOJ14KU9TZn7I/"",""2004-2017!H1503"")"),8.64381815)</f>
        <v>8.6438181499999995</v>
      </c>
      <c r="E327" s="99">
        <f ca="1">IFERROR(__xludf.DUMMYFUNCTION("$C321*IMPORTRANGE(""https://docs.google.com/spreadsheets/d/1xsp01RMmkav9iTy39Zaj_7tE9677EGlOJ14KU9TZn7I/"",""2004-2017!T1503"")"),7.378739346)</f>
        <v>7.3787393459999997</v>
      </c>
      <c r="F327" s="99">
        <f ca="1">IFERROR(__xludf.DUMMYFUNCTION("$C321*IMPORTRANGE(""https://docs.google.com/spreadsheets/d/1xsp01RMmkav9iTy39Zaj_7tE9677EGlOJ14KU9TZn7I/"",""2004-2017!AC1503"")"),1167.3584697434)</f>
        <v>1167.3584697434001</v>
      </c>
      <c r="G327" s="128" t="s">
        <v>8</v>
      </c>
      <c r="H327" s="80"/>
      <c r="I327" s="80"/>
      <c r="J327" s="80"/>
      <c r="K327" s="77"/>
      <c r="L327" s="78"/>
      <c r="M327" s="79"/>
      <c r="N327" s="79"/>
      <c r="O327" s="79"/>
      <c r="P327" s="79"/>
      <c r="Q327" s="77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</row>
    <row r="328" spans="1:29" ht="13.2" x14ac:dyDescent="0.25">
      <c r="A328" s="137" t="s">
        <v>322</v>
      </c>
      <c r="B328" s="106">
        <v>278</v>
      </c>
      <c r="C328" s="88">
        <f>29023.7/1000</f>
        <v>29.023700000000002</v>
      </c>
      <c r="D328" s="96">
        <f ca="1">IFERROR(__xludf.DUMMYFUNCTION("$C322*IMPORTRANGE(""https://docs.google.com/spreadsheets/d/1xsp01RMmkav9iTy39Zaj_7tE9677EGlOJ14KU9TZn7I/"",""2004-2017!H1527"")"),20.581286144)</f>
        <v>20.581286144</v>
      </c>
      <c r="E328" s="96">
        <f ca="1">IFERROR(__xludf.DUMMYFUNCTION("$C322*IMPORTRANGE(""https://docs.google.com/spreadsheets/d/1xsp01RMmkav9iTy39Zaj_7tE9677EGlOJ14KU9TZn7I/"",""2004-2017!T1527"")"),17.6855915949999)</f>
        <v>17.685591594999899</v>
      </c>
      <c r="F328" s="96">
        <f ca="1">IFERROR(__xludf.DUMMYFUNCTION("$C322*IMPORTRANGE(""https://docs.google.com/spreadsheets/d/1xsp01RMmkav9iTy39Zaj_7tE9677EGlOJ14KU9TZn7I/"",""2004-2017!AC1527"")"),2739.2567189289)</f>
        <v>2739.2567189289002</v>
      </c>
      <c r="G328" s="126" t="s">
        <v>8</v>
      </c>
      <c r="H328" s="80"/>
      <c r="I328" s="80"/>
      <c r="J328" s="80"/>
      <c r="K328" s="77"/>
      <c r="L328" s="78"/>
      <c r="M328" s="79"/>
      <c r="N328" s="79"/>
      <c r="O328" s="79"/>
      <c r="P328" s="79"/>
      <c r="Q328" s="77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</row>
    <row r="329" spans="1:29" ht="13.2" x14ac:dyDescent="0.25">
      <c r="A329" s="136" t="s">
        <v>323</v>
      </c>
      <c r="B329" s="107">
        <v>232</v>
      </c>
      <c r="C329" s="98">
        <f>12933.9/1000</f>
        <v>12.9339</v>
      </c>
      <c r="D329" s="99">
        <f ca="1">IFERROR(__xludf.DUMMYFUNCTION("$C323*IMPORTRANGE(""https://docs.google.com/spreadsheets/d/1xsp01RMmkav9iTy39Zaj_7tE9677EGlOJ14KU9TZn7I/"",""2004-2017!H1549"")"),9.059938272)</f>
        <v>9.0599382720000001</v>
      </c>
      <c r="E329" s="99">
        <f ca="1">IFERROR(__xludf.DUMMYFUNCTION("$C323*IMPORTRANGE(""https://docs.google.com/spreadsheets/d/1xsp01RMmkav9iTy39Zaj_7tE9677EGlOJ14KU9TZn7I/"",""2004-2017!T1549"")"),7.83393389099999)</f>
        <v>7.8339338909999903</v>
      </c>
      <c r="F329" s="99">
        <f ca="1">IFERROR(__xludf.DUMMYFUNCTION("$C323*IMPORTRANGE(""https://docs.google.com/spreadsheets/d/1xsp01RMmkav9iTy39Zaj_7tE9677EGlOJ14KU9TZn7I/"",""2004-2017!AC1549"")"),1226.0819585322)</f>
        <v>1226.0819585321999</v>
      </c>
      <c r="G329" s="128" t="s">
        <v>8</v>
      </c>
      <c r="H329" s="80"/>
      <c r="I329" s="80"/>
      <c r="J329" s="80"/>
      <c r="K329" s="77"/>
      <c r="L329" s="78"/>
      <c r="M329" s="79"/>
      <c r="N329" s="79"/>
      <c r="O329" s="79"/>
      <c r="P329" s="79"/>
      <c r="Q329" s="77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</row>
    <row r="330" spans="1:29" ht="13.2" x14ac:dyDescent="0.25">
      <c r="A330" s="137" t="s">
        <v>324</v>
      </c>
      <c r="B330" s="106">
        <v>227</v>
      </c>
      <c r="C330" s="88">
        <f>28534.1/1000</f>
        <v>28.534099999999999</v>
      </c>
      <c r="D330" s="96">
        <f ca="1">IFERROR(__xludf.DUMMYFUNCTION("$C324*IMPORTRANGE(""https://docs.google.com/spreadsheets/d/1xsp01RMmkav9iTy39Zaj_7tE9677EGlOJ14KU9TZn7I/"",""2004-2017!H1572"")"),19.5006319514999)</f>
        <v>19.500631951499901</v>
      </c>
      <c r="E330" s="96">
        <f ca="1">IFERROR(__xludf.DUMMYFUNCTION("$C324*IMPORTRANGE(""https://docs.google.com/spreadsheets/d/1xsp01RMmkav9iTy39Zaj_7tE9677EGlOJ14KU9TZn7I/"",""2004-2017!T1572"")"),17.456877039)</f>
        <v>17.456877038999998</v>
      </c>
      <c r="F330" s="96">
        <f ca="1">IFERROR(__xludf.DUMMYFUNCTION("$C324*IMPORTRANGE(""https://docs.google.com/spreadsheets/d/1xsp01RMmkav9iTy39Zaj_7tE9677EGlOJ14KU9TZn7I/"",""2004-2017!AC1572"")"),2603.39418726589)</f>
        <v>2603.3941872658902</v>
      </c>
      <c r="G330" s="126" t="s">
        <v>8</v>
      </c>
      <c r="H330" s="80"/>
      <c r="I330" s="80"/>
      <c r="J330" s="80"/>
      <c r="K330" s="77"/>
      <c r="L330" s="78"/>
      <c r="M330" s="79"/>
      <c r="N330" s="79"/>
      <c r="O330" s="79"/>
      <c r="P330" s="79"/>
      <c r="Q330" s="77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</row>
    <row r="331" spans="1:29" ht="13.2" x14ac:dyDescent="0.25">
      <c r="A331" s="136" t="s">
        <v>325</v>
      </c>
      <c r="B331" s="107">
        <v>266</v>
      </c>
      <c r="C331" s="98">
        <f>22665.6/1000</f>
        <v>22.665599999999998</v>
      </c>
      <c r="D331" s="99">
        <f ca="1">IFERROR(__xludf.DUMMYFUNCTION("$C325*IMPORTRANGE(""https://docs.google.com/spreadsheets/d/1xsp01RMmkav9iTy39Zaj_7tE9677EGlOJ14KU9TZn7I/"",""2004-2017!H1595"")"),15.2851139999999)</f>
        <v>15.285113999999901</v>
      </c>
      <c r="E331" s="99">
        <f ca="1">IFERROR(__xludf.DUMMYFUNCTION("$C325*IMPORTRANGE(""https://docs.google.com/spreadsheets/d/1xsp01RMmkav9iTy39Zaj_7tE9677EGlOJ14KU9TZn7I/"",""2004-2017!T1595"")"),13.9005858239999)</f>
        <v>13.900585823999901</v>
      </c>
      <c r="F331" s="99">
        <f ca="1">IFERROR(__xludf.DUMMYFUNCTION("$C325*IMPORTRANGE(""https://docs.google.com/spreadsheets/d/1xsp01RMmkav9iTy39Zaj_7tE9677EGlOJ14KU9TZn7I/"",""2004-2017!AC1595"")"),2047.38360266879)</f>
        <v>2047.38360266879</v>
      </c>
      <c r="G331" s="128" t="s">
        <v>8</v>
      </c>
      <c r="H331" s="80"/>
      <c r="I331" s="80"/>
      <c r="J331" s="80"/>
      <c r="K331" s="77"/>
      <c r="L331" s="78"/>
      <c r="M331" s="79"/>
      <c r="N331" s="79"/>
      <c r="O331" s="79"/>
      <c r="P331" s="79"/>
      <c r="Q331" s="77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</row>
    <row r="332" spans="1:29" ht="13.2" x14ac:dyDescent="0.25">
      <c r="A332" s="137" t="s">
        <v>326</v>
      </c>
      <c r="B332" s="106">
        <v>295</v>
      </c>
      <c r="C332" s="88">
        <f>52916.7/1000</f>
        <v>52.916699999999999</v>
      </c>
      <c r="D332" s="96">
        <f ca="1">IFERROR(__xludf.DUMMYFUNCTION("$C326*IMPORTRANGE(""https://docs.google.com/spreadsheets/d/1xsp01RMmkav9iTy39Zaj_7tE9677EGlOJ14KU9TZn7I/"",""2004-2017!H1617"")"),35.386455624)</f>
        <v>35.386455624</v>
      </c>
      <c r="E332" s="96">
        <f ca="1">IFERROR(__xludf.DUMMYFUNCTION("$C326*IMPORTRANGE(""https://docs.google.com/spreadsheets/d/1xsp01RMmkav9iTy39Zaj_7tE9677EGlOJ14KU9TZn7I/"",""2004-2017!T1617"")"),31.9024200959999)</f>
        <v>31.902420095999901</v>
      </c>
      <c r="F332" s="96">
        <f ca="1">IFERROR(__xludf.DUMMYFUNCTION("$C326*IMPORTRANGE(""https://docs.google.com/spreadsheets/d/1xsp01RMmkav9iTy39Zaj_7tE9677EGlOJ14KU9TZn7I/"",""2004-2017!AC1617"")"),4730.6473053501)</f>
        <v>4730.6473053501004</v>
      </c>
      <c r="G332" s="126" t="s">
        <v>8</v>
      </c>
      <c r="H332" s="80"/>
      <c r="I332" s="80"/>
      <c r="J332" s="80"/>
      <c r="K332" s="77"/>
      <c r="L332" s="78"/>
      <c r="M332" s="79"/>
      <c r="N332" s="79"/>
      <c r="O332" s="79"/>
      <c r="P332" s="79"/>
      <c r="Q332" s="77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</row>
    <row r="333" spans="1:29" ht="13.2" x14ac:dyDescent="0.25">
      <c r="A333" s="138" t="s">
        <v>327</v>
      </c>
      <c r="B333" s="108">
        <v>384</v>
      </c>
      <c r="C333" s="101">
        <f>41724.1/1000</f>
        <v>41.7241</v>
      </c>
      <c r="D333" s="102">
        <f ca="1">IFERROR(__xludf.DUMMYFUNCTION("$C327*IMPORTRANGE(""https://docs.google.com/spreadsheets/d/1xsp01RMmkav9iTy39Zaj_7tE9677EGlOJ14KU9TZn7I/"",""2004-2017!H1641"")"),28.723704922)</f>
        <v>28.723704922</v>
      </c>
      <c r="E333" s="102">
        <f ca="1">IFERROR(__xludf.DUMMYFUNCTION("$C327*IMPORTRANGE(""https://docs.google.com/spreadsheets/d/1xsp01RMmkav9iTy39Zaj_7tE9677EGlOJ14KU9TZn7I/"",""2004-2017!T1641"")"),25.677845622)</f>
        <v>25.677845622</v>
      </c>
      <c r="F333" s="102">
        <f ca="1">IFERROR(__xludf.DUMMYFUNCTION("$C327*IMPORTRANGE(""https://docs.google.com/spreadsheets/d/1xsp01RMmkav9iTy39Zaj_7tE9677EGlOJ14KU9TZn7I/"",""2004-2017!AC1641"")"),3748.9103015518)</f>
        <v>3748.9103015517999</v>
      </c>
      <c r="G333" s="129" t="s">
        <v>8</v>
      </c>
      <c r="H333" s="80"/>
      <c r="I333" s="80"/>
      <c r="J333" s="80"/>
      <c r="K333" s="77"/>
      <c r="L333" s="78"/>
      <c r="M333" s="79"/>
      <c r="N333" s="79"/>
      <c r="O333" s="79"/>
      <c r="P333" s="79"/>
      <c r="Q333" s="77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</row>
    <row r="334" spans="1:29" ht="13.2" x14ac:dyDescent="0.25">
      <c r="A334" s="120">
        <v>2010</v>
      </c>
      <c r="B334" s="121"/>
      <c r="C334" s="139"/>
      <c r="D334" s="139"/>
      <c r="E334" s="139"/>
      <c r="F334" s="139"/>
      <c r="G334" s="123"/>
      <c r="H334" s="80"/>
      <c r="I334" s="80"/>
      <c r="J334" s="80"/>
      <c r="K334" s="77"/>
      <c r="L334" s="78"/>
      <c r="M334" s="79"/>
      <c r="N334" s="79"/>
      <c r="O334" s="79"/>
      <c r="P334" s="79"/>
      <c r="Q334" s="77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</row>
    <row r="335" spans="1:29" ht="13.2" x14ac:dyDescent="0.25">
      <c r="A335" s="135" t="s">
        <v>328</v>
      </c>
      <c r="B335" s="105">
        <v>261</v>
      </c>
      <c r="C335" s="85">
        <f>22724.21/1000</f>
        <v>22.724209999999999</v>
      </c>
      <c r="D335" s="95">
        <f ca="1">IFERROR(__xludf.DUMMYFUNCTION("$C329*IMPORTRANGE(""https://docs.google.com/spreadsheets/d/1xsp01RMmkav9iTy39Zaj_7tE9677EGlOJ14KU9TZn7I/"",""2004-2017!H1664"")"),15.8180953389)</f>
        <v>15.818095338899999</v>
      </c>
      <c r="E335" s="95">
        <f ca="1">IFERROR(__xludf.DUMMYFUNCTION("$C329*IMPORTRANGE(""https://docs.google.com/spreadsheets/d/1xsp01RMmkav9iTy39Zaj_7tE9677EGlOJ14KU9TZn7I/"",""2004-2017!T1664"")"),14.0733304951)</f>
        <v>14.0733304951</v>
      </c>
      <c r="F335" s="95">
        <f ca="1">IFERROR(__xludf.DUMMYFUNCTION("$C329*IMPORTRANGE(""https://docs.google.com/spreadsheets/d/1xsp01RMmkav9iTy39Zaj_7tE9677EGlOJ14KU9TZn7I/"",""2004-2017!AC1664"")"),2072.26618104421)</f>
        <v>2072.26618104421</v>
      </c>
      <c r="G335" s="124" t="s">
        <v>8</v>
      </c>
      <c r="H335" s="80"/>
      <c r="I335" s="80"/>
      <c r="J335" s="80"/>
      <c r="K335" s="77"/>
      <c r="L335" s="78"/>
      <c r="M335" s="79"/>
      <c r="N335" s="79"/>
      <c r="O335" s="79"/>
      <c r="P335" s="79"/>
      <c r="Q335" s="77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</row>
    <row r="336" spans="1:29" ht="13.2" x14ac:dyDescent="0.25">
      <c r="A336" s="136" t="s">
        <v>329</v>
      </c>
      <c r="B336" s="107">
        <v>252</v>
      </c>
      <c r="C336" s="98">
        <f>16886.6/1000</f>
        <v>16.886599999999998</v>
      </c>
      <c r="D336" s="99">
        <f ca="1">IFERROR(__xludf.DUMMYFUNCTION("$C330*IMPORTRANGE(""https://docs.google.com/spreadsheets/d/1xsp01RMmkav9iTy39Zaj_7tE9677EGlOJ14KU9TZn7I/"",""2004-2017!H1685"")"),12.3758514079999)</f>
        <v>12.3758514079999</v>
      </c>
      <c r="E336" s="99">
        <f ca="1">IFERROR(__xludf.DUMMYFUNCTION("$C330*IMPORTRANGE(""https://docs.google.com/spreadsheets/d/1xsp01RMmkav9iTy39Zaj_7tE9677EGlOJ14KU9TZn7I/"",""2004-2017!T1685"")"),10.781503069)</f>
        <v>10.781503068999999</v>
      </c>
      <c r="F336" s="99">
        <f ca="1">IFERROR(__xludf.DUMMYFUNCTION("$C330*IMPORTRANGE(""https://docs.google.com/spreadsheets/d/1xsp01RMmkav9iTy39Zaj_7tE9677EGlOJ14KU9TZn7I/"",""2004-2017!AC1685"")"),1521.5671521031)</f>
        <v>1521.5671521030999</v>
      </c>
      <c r="G336" s="128" t="s">
        <v>8</v>
      </c>
      <c r="H336" s="80"/>
      <c r="I336" s="80"/>
      <c r="J336" s="80"/>
      <c r="K336" s="77"/>
      <c r="L336" s="78"/>
      <c r="M336" s="79"/>
      <c r="N336" s="79"/>
      <c r="O336" s="79"/>
      <c r="P336" s="79"/>
      <c r="Q336" s="77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</row>
    <row r="337" spans="1:29" ht="13.2" x14ac:dyDescent="0.25">
      <c r="A337" s="137" t="s">
        <v>330</v>
      </c>
      <c r="B337" s="106">
        <v>329</v>
      </c>
      <c r="C337" s="88">
        <f>28931.4/1000</f>
        <v>28.9314</v>
      </c>
      <c r="D337" s="96">
        <f ca="1">IFERROR(__xludf.DUMMYFUNCTION("$C331*IMPORTRANGE(""https://docs.google.com/spreadsheets/d/1xsp01RMmkav9iTy39Zaj_7tE9677EGlOJ14KU9TZn7I/"",""2004-2017!H1709"")"),21.262264488)</f>
        <v>21.262264488</v>
      </c>
      <c r="E337" s="96">
        <f ca="1">IFERROR(__xludf.DUMMYFUNCTION("$C331*IMPORTRANGE(""https://docs.google.com/spreadsheets/d/1xsp01RMmkav9iTy39Zaj_7tE9677EGlOJ14KU9TZn7I/"",""2004-2017!T1709"")"),19.233884034)</f>
        <v>19.233884033999999</v>
      </c>
      <c r="F337" s="96">
        <f ca="1">IFERROR(__xludf.DUMMYFUNCTION("$C331*IMPORTRANGE(""https://docs.google.com/spreadsheets/d/1xsp01RMmkav9iTy39Zaj_7tE9677EGlOJ14KU9TZn7I/"",""2004-2017!AC1709"")"),2615.4853542)</f>
        <v>2615.4853542000001</v>
      </c>
      <c r="G337" s="126" t="s">
        <v>8</v>
      </c>
      <c r="H337" s="80"/>
      <c r="I337" s="80"/>
      <c r="J337" s="80"/>
      <c r="K337" s="77"/>
      <c r="L337" s="78"/>
      <c r="M337" s="79"/>
      <c r="N337" s="79"/>
      <c r="O337" s="79"/>
      <c r="P337" s="79"/>
      <c r="Q337" s="77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</row>
    <row r="338" spans="1:29" ht="13.2" x14ac:dyDescent="0.25">
      <c r="A338" s="136" t="s">
        <v>331</v>
      </c>
      <c r="B338" s="104">
        <v>267</v>
      </c>
      <c r="C338" s="98">
        <f>33069.3/1000</f>
        <v>33.069300000000005</v>
      </c>
      <c r="D338" s="99">
        <f ca="1">IFERROR(__xludf.DUMMYFUNCTION("$C332*IMPORTRANGE(""https://docs.google.com/spreadsheets/d/1xsp01RMmkav9iTy39Zaj_7tE9677EGlOJ14KU9TZn7I/"",""2004-2017!H1732"")"),24.644565132)</f>
        <v>24.644565132</v>
      </c>
      <c r="E338" s="99">
        <f ca="1">IFERROR(__xludf.DUMMYFUNCTION("$C332*IMPORTRANGE(""https://docs.google.com/spreadsheets/d/1xsp01RMmkav9iTy39Zaj_7tE9677EGlOJ14KU9TZn7I/"",""2004-2017!T1732"")"),21.5296024185)</f>
        <v>21.529602418500001</v>
      </c>
      <c r="F338" s="99">
        <f ca="1">IFERROR(__xludf.DUMMYFUNCTION("$C332*IMPORTRANGE(""https://docs.google.com/spreadsheets/d/1xsp01RMmkav9iTy39Zaj_7tE9677EGlOJ14KU9TZn7I/"",""2004-2017!AC1732"")"),3087.2837755386)</f>
        <v>3087.2837755385999</v>
      </c>
      <c r="G338" s="128" t="s">
        <v>8</v>
      </c>
      <c r="H338" s="80"/>
      <c r="I338" s="80"/>
      <c r="J338" s="80"/>
      <c r="K338" s="77"/>
      <c r="L338" s="78"/>
      <c r="M338" s="79"/>
      <c r="N338" s="79"/>
      <c r="O338" s="79"/>
      <c r="P338" s="79"/>
      <c r="Q338" s="77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</row>
    <row r="339" spans="1:29" ht="13.2" x14ac:dyDescent="0.25">
      <c r="A339" s="137" t="s">
        <v>332</v>
      </c>
      <c r="B339" s="106">
        <v>277</v>
      </c>
      <c r="C339" s="88">
        <f>27728.9/1000</f>
        <v>27.728900000000003</v>
      </c>
      <c r="D339" s="96">
        <f ca="1">IFERROR(__xludf.DUMMYFUNCTION("$C333*IMPORTRANGE(""https://docs.google.com/spreadsheets/d/1xsp01RMmkav9iTy39Zaj_7tE9677EGlOJ14KU9TZn7I/"",""2004-2017!H1754"")"),22.220554015)</f>
        <v>22.220554015000001</v>
      </c>
      <c r="E339" s="96">
        <f ca="1">IFERROR(__xludf.DUMMYFUNCTION("$C333*IMPORTRANGE(""https://docs.google.com/spreadsheets/d/1xsp01RMmkav9iTy39Zaj_7tE9677EGlOJ14KU9TZn7I/"",""2004-2017!T1754"")"),19.073323865)</f>
        <v>19.073323864999999</v>
      </c>
      <c r="F339" s="96">
        <f ca="1">IFERROR(__xludf.DUMMYFUNCTION("$C333*IMPORTRANGE(""https://docs.google.com/spreadsheets/d/1xsp01RMmkav9iTy39Zaj_7tE9677EGlOJ14KU9TZn7I/"",""2004-2017!AC1754"")"),2539.4127174578)</f>
        <v>2539.4127174578002</v>
      </c>
      <c r="G339" s="126" t="s">
        <v>8</v>
      </c>
      <c r="H339" s="80"/>
      <c r="I339" s="80"/>
      <c r="J339" s="80"/>
      <c r="K339" s="77"/>
      <c r="L339" s="78"/>
      <c r="M339" s="79"/>
      <c r="N339" s="79"/>
      <c r="O339" s="79"/>
      <c r="P339" s="79"/>
      <c r="Q339" s="77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</row>
    <row r="340" spans="1:29" ht="13.2" x14ac:dyDescent="0.25">
      <c r="A340" s="136" t="s">
        <v>333</v>
      </c>
      <c r="B340" s="107">
        <v>279</v>
      </c>
      <c r="C340" s="98">
        <f>16788.5/1000</f>
        <v>16.788499999999999</v>
      </c>
      <c r="D340" s="99">
        <f ca="1">IFERROR(__xludf.DUMMYFUNCTION("$C334*IMPORTRANGE(""https://docs.google.com/spreadsheets/d/1xsp01RMmkav9iTy39Zaj_7tE9677EGlOJ14KU9TZn7I/"",""2004-2017!H1777"")"),13.7205695099999)</f>
        <v>13.720569509999899</v>
      </c>
      <c r="E340" s="99">
        <f ca="1">IFERROR(__xludf.DUMMYFUNCTION("$C334*IMPORTRANGE(""https://docs.google.com/spreadsheets/d/1xsp01RMmkav9iTy39Zaj_7tE9677EGlOJ14KU9TZn7I/"",""2004-2017!T1777"")"),11.38361031)</f>
        <v>11.38361031</v>
      </c>
      <c r="F340" s="99">
        <f ca="1">IFERROR(__xludf.DUMMYFUNCTION("$C334*IMPORTRANGE(""https://docs.google.com/spreadsheets/d/1xsp01RMmkav9iTy39Zaj_7tE9677EGlOJ14KU9TZn7I/"",""2004-2017!AC1777"")"),1531.18671467299)</f>
        <v>1531.1867146729901</v>
      </c>
      <c r="G340" s="128" t="s">
        <v>8</v>
      </c>
      <c r="H340" s="80"/>
      <c r="I340" s="80"/>
      <c r="J340" s="80"/>
      <c r="K340" s="77"/>
      <c r="L340" s="78"/>
      <c r="M340" s="79"/>
      <c r="N340" s="79"/>
      <c r="O340" s="79"/>
      <c r="P340" s="79"/>
      <c r="Q340" s="77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</row>
    <row r="341" spans="1:29" ht="13.2" x14ac:dyDescent="0.25">
      <c r="A341" s="137" t="s">
        <v>334</v>
      </c>
      <c r="B341" s="106">
        <v>309</v>
      </c>
      <c r="C341" s="88">
        <f>33569.2/1000</f>
        <v>33.569199999999995</v>
      </c>
      <c r="D341" s="96">
        <f ca="1">IFERROR(__xludf.DUMMYFUNCTION("$C335*IMPORTRANGE(""https://docs.google.com/spreadsheets/d/1xsp01RMmkav9iTy39Zaj_7tE9677EGlOJ14KU9TZn7I/"",""2004-2017!H1800"")"),26.1641701719999)</f>
        <v>26.164170171999899</v>
      </c>
      <c r="E341" s="96">
        <f ca="1">IFERROR(__xludf.DUMMYFUNCTION("$C335*IMPORTRANGE(""https://docs.google.com/spreadsheets/d/1xsp01RMmkav9iTy39Zaj_7tE9677EGlOJ14KU9TZn7I/"",""2004-2017!T1800"")"),22.0171990499999)</f>
        <v>22.017199049999899</v>
      </c>
      <c r="F341" s="96">
        <f ca="1">IFERROR(__xludf.DUMMYFUNCTION("$C335*IMPORTRANGE(""https://docs.google.com/spreadsheets/d/1xsp01RMmkav9iTy39Zaj_7tE9677EGlOJ14KU9TZn7I/"",""2004-2017!AC1800"")"),2937.30499999999)</f>
        <v>2937.3049999999898</v>
      </c>
      <c r="G341" s="126" t="s">
        <v>8</v>
      </c>
      <c r="H341" s="80"/>
      <c r="I341" s="80"/>
      <c r="J341" s="80"/>
      <c r="K341" s="77"/>
      <c r="L341" s="78"/>
      <c r="M341" s="79"/>
      <c r="N341" s="79"/>
      <c r="O341" s="79"/>
      <c r="P341" s="79"/>
      <c r="Q341" s="77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</row>
    <row r="342" spans="1:29" ht="13.2" x14ac:dyDescent="0.25">
      <c r="A342" s="136" t="s">
        <v>335</v>
      </c>
      <c r="B342" s="107">
        <v>315</v>
      </c>
      <c r="C342" s="98">
        <f>71843.91/1000</f>
        <v>71.843910000000008</v>
      </c>
      <c r="D342" s="99">
        <f ca="1">IFERROR(__xludf.DUMMYFUNCTION("$C336*IMPORTRANGE(""https://docs.google.com/spreadsheets/d/1xsp01RMmkav9iTy39Zaj_7tE9677EGlOJ14KU9TZn7I/"",""2004-2017!H1823"")"),55.96640589)</f>
        <v>55.966405889999997</v>
      </c>
      <c r="E342" s="99">
        <f ca="1">IFERROR(__xludf.DUMMYFUNCTION("$C336*IMPORTRANGE(""https://docs.google.com/spreadsheets/d/1xsp01RMmkav9iTy39Zaj_7tE9677EGlOJ14KU9TZn7I/"",""2004-2017!T1823"")"),46.05086865135)</f>
        <v>46.050868651350001</v>
      </c>
      <c r="F342" s="99">
        <f ca="1">IFERROR(__xludf.DUMMYFUNCTION("$C336*IMPORTRANGE(""https://docs.google.com/spreadsheets/d/1xsp01RMmkav9iTy39Zaj_7tE9677EGlOJ14KU9TZn7I/"",""2004-2017!AC1823"")"),6140.53494557695)</f>
        <v>6140.5349455769501</v>
      </c>
      <c r="G342" s="128" t="s">
        <v>8</v>
      </c>
      <c r="H342" s="80"/>
      <c r="I342" s="80"/>
      <c r="J342" s="80"/>
      <c r="K342" s="77"/>
      <c r="L342" s="78"/>
      <c r="M342" s="79"/>
      <c r="N342" s="79"/>
      <c r="O342" s="79"/>
      <c r="P342" s="79"/>
      <c r="Q342" s="77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</row>
    <row r="343" spans="1:29" ht="13.2" x14ac:dyDescent="0.25">
      <c r="A343" s="137" t="s">
        <v>336</v>
      </c>
      <c r="B343" s="106">
        <v>304</v>
      </c>
      <c r="C343" s="88">
        <f>33481.2/1000</f>
        <v>33.481199999999994</v>
      </c>
      <c r="D343" s="96">
        <f ca="1">IFERROR(__xludf.DUMMYFUNCTION("$C337*IMPORTRANGE(""https://docs.google.com/spreadsheets/d/1xsp01RMmkav9iTy39Zaj_7tE9677EGlOJ14KU9TZn7I/"",""2004-2017!H1846"")"),25.7480472359999)</f>
        <v>25.748047235999898</v>
      </c>
      <c r="E343" s="96">
        <f ca="1">IFERROR(__xludf.DUMMYFUNCTION("$C337*IMPORTRANGE(""https://docs.google.com/spreadsheets/d/1xsp01RMmkav9iTy39Zaj_7tE9677EGlOJ14KU9TZn7I/"",""2004-2017!T1846"")"),21.5436455459999)</f>
        <v>21.543645545999901</v>
      </c>
      <c r="F343" s="96">
        <f ca="1">IFERROR(__xludf.DUMMYFUNCTION("$C337*IMPORTRANGE(""https://docs.google.com/spreadsheets/d/1xsp01RMmkav9iTy39Zaj_7tE9677EGlOJ14KU9TZn7I/"",""2004-2017!AC1846"")"),2822.16384594059)</f>
        <v>2822.1638459405899</v>
      </c>
      <c r="G343" s="126" t="s">
        <v>8</v>
      </c>
      <c r="H343" s="80"/>
      <c r="I343" s="80"/>
      <c r="J343" s="80"/>
      <c r="K343" s="77"/>
      <c r="L343" s="78"/>
      <c r="M343" s="79"/>
      <c r="N343" s="79"/>
      <c r="O343" s="79"/>
      <c r="P343" s="79"/>
      <c r="Q343" s="77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</row>
    <row r="344" spans="1:29" ht="13.2" x14ac:dyDescent="0.25">
      <c r="A344" s="136" t="s">
        <v>337</v>
      </c>
      <c r="B344" s="107">
        <v>295</v>
      </c>
      <c r="C344" s="98">
        <f>51456.4/1000</f>
        <v>51.456400000000002</v>
      </c>
      <c r="D344" s="99">
        <f ca="1">IFERROR(__xludf.DUMMYFUNCTION("$C338*IMPORTRANGE(""https://docs.google.com/spreadsheets/d/1xsp01RMmkav9iTy39Zaj_7tE9677EGlOJ14KU9TZn7I/"",""2004-2017!H1868"")"),36.97399622)</f>
        <v>36.973996219999997</v>
      </c>
      <c r="E344" s="99">
        <f ca="1">IFERROR(__xludf.DUMMYFUNCTION("$C338*IMPORTRANGE(""https://docs.google.com/spreadsheets/d/1xsp01RMmkav9iTy39Zaj_7tE9677EGlOJ14KU9TZn7I/"",""2004-2017!T1868"")"),32.474648604)</f>
        <v>32.474648604000002</v>
      </c>
      <c r="F344" s="99">
        <f ca="1">IFERROR(__xludf.DUMMYFUNCTION("$C338*IMPORTRANGE(""https://docs.google.com/spreadsheets/d/1xsp01RMmkav9iTy39Zaj_7tE9677EGlOJ14KU9TZn7I/"",""2004-2017!AC1868"")"),4202.9073470564)</f>
        <v>4202.9073470563999</v>
      </c>
      <c r="G344" s="128" t="s">
        <v>8</v>
      </c>
      <c r="H344" s="80"/>
      <c r="I344" s="80"/>
      <c r="J344" s="80"/>
      <c r="K344" s="77"/>
      <c r="L344" s="78"/>
      <c r="M344" s="79"/>
      <c r="N344" s="79"/>
      <c r="O344" s="79"/>
      <c r="P344" s="79"/>
      <c r="Q344" s="77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</row>
    <row r="345" spans="1:29" ht="13.2" x14ac:dyDescent="0.25">
      <c r="A345" s="137" t="s">
        <v>338</v>
      </c>
      <c r="B345" s="106">
        <v>348</v>
      </c>
      <c r="C345" s="88">
        <f>49174.7/1000</f>
        <v>49.174699999999994</v>
      </c>
      <c r="D345" s="96">
        <f ca="1">IFERROR(__xludf.DUMMYFUNCTION("$C339*IMPORTRANGE(""https://docs.google.com/spreadsheets/d/1xsp01RMmkav9iTy39Zaj_7tE9677EGlOJ14KU9TZn7I/"",""2004-2017!H1891"")"),35.9589993749999)</f>
        <v>35.958999374999898</v>
      </c>
      <c r="E345" s="96">
        <f ca="1">IFERROR(__xludf.DUMMYFUNCTION("$C339*IMPORTRANGE(""https://docs.google.com/spreadsheets/d/1xsp01RMmkav9iTy39Zaj_7tE9677EGlOJ14KU9TZn7I/"",""2004-2017!T1891"")"),30.6619006909999)</f>
        <v>30.6619006909999</v>
      </c>
      <c r="F345" s="96">
        <f ca="1">IFERROR(__xludf.DUMMYFUNCTION("$C339*IMPORTRANGE(""https://docs.google.com/spreadsheets/d/1xsp01RMmkav9iTy39Zaj_7tE9677EGlOJ14KU9TZn7I/"",""2004-2017!AC1891"")"),4070.92751491264)</f>
        <v>4070.9275149126402</v>
      </c>
      <c r="G345" s="126" t="s">
        <v>8</v>
      </c>
      <c r="H345" s="80"/>
      <c r="I345" s="80"/>
      <c r="J345" s="80"/>
      <c r="K345" s="77"/>
      <c r="L345" s="78"/>
      <c r="M345" s="79"/>
      <c r="N345" s="79"/>
      <c r="O345" s="79"/>
      <c r="P345" s="79"/>
      <c r="Q345" s="77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</row>
    <row r="346" spans="1:29" ht="13.2" x14ac:dyDescent="0.25">
      <c r="A346" s="138" t="s">
        <v>339</v>
      </c>
      <c r="B346" s="108">
        <v>454</v>
      </c>
      <c r="C346" s="101">
        <f>67753.8/1000</f>
        <v>67.753799999999998</v>
      </c>
      <c r="D346" s="102">
        <f ca="1">IFERROR(__xludf.DUMMYFUNCTION("$C340*IMPORTRANGE(""https://docs.google.com/spreadsheets/d/1xsp01RMmkav9iTy39Zaj_7tE9677EGlOJ14KU9TZn7I/"",""2004-2017!H1915"")"),51.266590308)</f>
        <v>51.266590307999998</v>
      </c>
      <c r="E346" s="102">
        <f ca="1">IFERROR(__xludf.DUMMYFUNCTION("$C340*IMPORTRANGE(""https://docs.google.com/spreadsheets/d/1xsp01RMmkav9iTy39Zaj_7tE9677EGlOJ14KU9TZn7I/"",""2004-2017!T1915"")"),43.520975892)</f>
        <v>43.520975892000003</v>
      </c>
      <c r="F346" s="102">
        <f ca="1">IFERROR(__xludf.DUMMYFUNCTION("$C340*IMPORTRANGE(""https://docs.google.com/spreadsheets/d/1xsp01RMmkav9iTy39Zaj_7tE9677EGlOJ14KU9TZn7I/"",""2004-2017!AC1915"")"),5669.50254415379)</f>
        <v>5669.50254415379</v>
      </c>
      <c r="G346" s="129" t="s">
        <v>8</v>
      </c>
      <c r="H346" s="80"/>
      <c r="I346" s="80"/>
      <c r="J346" s="80"/>
      <c r="K346" s="77"/>
      <c r="L346" s="78"/>
      <c r="M346" s="79"/>
      <c r="N346" s="79"/>
      <c r="O346" s="79"/>
      <c r="P346" s="79"/>
      <c r="Q346" s="77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</row>
    <row r="347" spans="1:29" ht="13.2" x14ac:dyDescent="0.25">
      <c r="A347" s="120">
        <v>2011</v>
      </c>
      <c r="B347" s="121"/>
      <c r="C347" s="139"/>
      <c r="D347" s="139"/>
      <c r="E347" s="139"/>
      <c r="F347" s="139"/>
      <c r="G347" s="123"/>
      <c r="H347" s="80"/>
      <c r="I347" s="80"/>
      <c r="J347" s="80"/>
      <c r="K347" s="77"/>
      <c r="L347" s="78"/>
      <c r="M347" s="79"/>
      <c r="N347" s="79"/>
      <c r="O347" s="79"/>
      <c r="P347" s="79"/>
      <c r="Q347" s="77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</row>
    <row r="348" spans="1:29" ht="13.2" x14ac:dyDescent="0.25">
      <c r="A348" s="135" t="s">
        <v>340</v>
      </c>
      <c r="B348" s="105">
        <v>331</v>
      </c>
      <c r="C348" s="85">
        <f>30600.8/1000</f>
        <v>30.6008</v>
      </c>
      <c r="D348" s="95">
        <f ca="1">IFERROR(__xludf.DUMMYFUNCTION("$C342*IMPORTRANGE(""https://docs.google.com/spreadsheets/d/1xsp01RMmkav9iTy39Zaj_7tE9677EGlOJ14KU9TZn7I/"",""2004-2017!H1938"")"),22.9083708959999)</f>
        <v>22.908370895999902</v>
      </c>
      <c r="E348" s="95">
        <f ca="1">IFERROR(__xludf.DUMMYFUNCTION("$C342*IMPORTRANGE(""https://docs.google.com/spreadsheets/d/1xsp01RMmkav9iTy39Zaj_7tE9677EGlOJ14KU9TZn7I/"",""2004-2017!T1938"")"),19.331749392)</f>
        <v>19.331749391999999</v>
      </c>
      <c r="F348" s="95">
        <f ca="1">IFERROR(__xludf.DUMMYFUNCTION("$C342*IMPORTRANGE(""https://docs.google.com/spreadsheets/d/1xsp01RMmkav9iTy39Zaj_7tE9677EGlOJ14KU9TZn7I/"",""2004-2017!AC1938"")"),2529.7680747984)</f>
        <v>2529.7680747984</v>
      </c>
      <c r="G348" s="124" t="s">
        <v>8</v>
      </c>
      <c r="H348" s="80"/>
      <c r="I348" s="80"/>
      <c r="J348" s="80"/>
      <c r="K348" s="77"/>
      <c r="L348" s="78"/>
      <c r="M348" s="79"/>
      <c r="N348" s="79"/>
      <c r="O348" s="79"/>
      <c r="P348" s="79"/>
      <c r="Q348" s="77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</row>
    <row r="349" spans="1:29" ht="13.2" x14ac:dyDescent="0.25">
      <c r="A349" s="136" t="s">
        <v>341</v>
      </c>
      <c r="B349" s="107">
        <v>315</v>
      </c>
      <c r="C349" s="98">
        <f>45642.9/1000</f>
        <v>45.642900000000004</v>
      </c>
      <c r="D349" s="99">
        <f ca="1">IFERROR(__xludf.DUMMYFUNCTION("$C343*IMPORTRANGE(""https://docs.google.com/spreadsheets/d/1xsp01RMmkav9iTy39Zaj_7tE9677EGlOJ14KU9TZn7I/"",""2004-2017!H1959"")"),33.4373038965)</f>
        <v>33.437303896499998</v>
      </c>
      <c r="E349" s="99">
        <f ca="1">IFERROR(__xludf.DUMMYFUNCTION("$C343*IMPORTRANGE(""https://docs.google.com/spreadsheets/d/1xsp01RMmkav9iTy39Zaj_7tE9677EGlOJ14KU9TZn7I/"",""2004-2017!T1959"")"),28.2938054955)</f>
        <v>28.293805495499999</v>
      </c>
      <c r="F349" s="99">
        <f ca="1">IFERROR(__xludf.DUMMYFUNCTION("$C343*IMPORTRANGE(""https://docs.google.com/spreadsheets/d/1xsp01RMmkav9iTy39Zaj_7tE9677EGlOJ14KU9TZn7I/"",""2004-2017!AC1959"")"),3762.27585111435)</f>
        <v>3762.2758511143502</v>
      </c>
      <c r="G349" s="128" t="s">
        <v>8</v>
      </c>
      <c r="H349" s="80"/>
      <c r="I349" s="80"/>
      <c r="J349" s="80"/>
      <c r="K349" s="77"/>
      <c r="L349" s="78"/>
      <c r="M349" s="79"/>
      <c r="N349" s="79"/>
      <c r="O349" s="79"/>
      <c r="P349" s="79"/>
      <c r="Q349" s="77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</row>
    <row r="350" spans="1:29" ht="13.2" x14ac:dyDescent="0.25">
      <c r="A350" s="137" t="s">
        <v>342</v>
      </c>
      <c r="B350" s="106">
        <v>391</v>
      </c>
      <c r="C350" s="88">
        <f>45547.69/1000</f>
        <v>45.547690000000003</v>
      </c>
      <c r="D350" s="96">
        <f ca="1">IFERROR(__xludf.DUMMYFUNCTION("$C344*IMPORTRANGE(""https://docs.google.com/spreadsheets/d/1xsp01RMmkav9iTy39Zaj_7tE9677EGlOJ14KU9TZn7I/"",""2004-2017!H1983"")"),32.5556669044)</f>
        <v>32.555666904399999</v>
      </c>
      <c r="E350" s="96">
        <f ca="1">IFERROR(__xludf.DUMMYFUNCTION("$C344*IMPORTRANGE(""https://docs.google.com/spreadsheets/d/1xsp01RMmkav9iTy39Zaj_7tE9677EGlOJ14KU9TZn7I/"",""2004-2017!T1983"")"),28.1644141115)</f>
        <v>28.164414111500001</v>
      </c>
      <c r="F350" s="96">
        <f ca="1">IFERROR(__xludf.DUMMYFUNCTION("$C344*IMPORTRANGE(""https://docs.google.com/spreadsheets/d/1xsp01RMmkav9iTy39Zaj_7tE9677EGlOJ14KU9TZn7I/"",""2004-2017!AC1983"")"),3726.7119958)</f>
        <v>3726.7119957999998</v>
      </c>
      <c r="G350" s="126" t="s">
        <v>8</v>
      </c>
      <c r="H350" s="80"/>
      <c r="I350" s="80"/>
      <c r="J350" s="80"/>
      <c r="K350" s="77"/>
      <c r="L350" s="78"/>
      <c r="M350" s="79"/>
      <c r="N350" s="79"/>
      <c r="O350" s="79"/>
      <c r="P350" s="79"/>
      <c r="Q350" s="77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</row>
    <row r="351" spans="1:29" ht="13.2" x14ac:dyDescent="0.25">
      <c r="A351" s="136" t="s">
        <v>343</v>
      </c>
      <c r="B351" s="107">
        <v>337</v>
      </c>
      <c r="C351" s="98">
        <f>30086.4/1000</f>
        <v>30.086400000000001</v>
      </c>
      <c r="D351" s="99">
        <f ca="1">IFERROR(__xludf.DUMMYFUNCTION("$C345*IMPORTRANGE(""https://docs.google.com/spreadsheets/d/1xsp01RMmkav9iTy39Zaj_7tE9677EGlOJ14KU9TZn7I/"",""2004-2017!H2005"")"),20.838442368)</f>
        <v>20.838442367999999</v>
      </c>
      <c r="E351" s="99">
        <f ca="1">IFERROR(__xludf.DUMMYFUNCTION("$C345*IMPORTRANGE(""https://docs.google.com/spreadsheets/d/1xsp01RMmkav9iTy39Zaj_7tE9677EGlOJ14KU9TZn7I/"",""2004-2017!T2005"")"),18.430026048)</f>
        <v>18.430026047999998</v>
      </c>
      <c r="F351" s="99">
        <f ca="1">IFERROR(__xludf.DUMMYFUNCTION("$C345*IMPORTRANGE(""https://docs.google.com/spreadsheets/d/1xsp01RMmkav9iTy39Zaj_7tE9677EGlOJ14KU9TZn7I/"",""2004-2017!AC2005"")"),2504.7981625728)</f>
        <v>2504.7981625727998</v>
      </c>
      <c r="G351" s="128" t="s">
        <v>8</v>
      </c>
      <c r="H351" s="80"/>
      <c r="I351" s="80"/>
      <c r="J351" s="80"/>
      <c r="K351" s="77"/>
      <c r="L351" s="78"/>
      <c r="M351" s="79"/>
      <c r="N351" s="79"/>
      <c r="O351" s="79"/>
      <c r="P351" s="79"/>
      <c r="Q351" s="77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</row>
    <row r="352" spans="1:29" ht="13.2" x14ac:dyDescent="0.25">
      <c r="A352" s="137" t="s">
        <v>344</v>
      </c>
      <c r="B352" s="106">
        <v>313</v>
      </c>
      <c r="C352" s="88">
        <f>32213.9/1000</f>
        <v>32.213900000000002</v>
      </c>
      <c r="D352" s="96">
        <f ca="1">IFERROR(__xludf.DUMMYFUNCTION("$C346*IMPORTRANGE(""https://docs.google.com/spreadsheets/d/1xsp01RMmkav9iTy39Zaj_7tE9677EGlOJ14KU9TZn7I/"",""2004-2017!H2028"")"),22.5537567375)</f>
        <v>22.553756737499999</v>
      </c>
      <c r="E352" s="96">
        <f ca="1">IFERROR(__xludf.DUMMYFUNCTION("$C346*IMPORTRANGE(""https://docs.google.com/spreadsheets/d/1xsp01RMmkav9iTy39Zaj_7tE9677EGlOJ14KU9TZn7I/"",""2004-2017!T2028"")"),19.6873639155)</f>
        <v>19.687363915500001</v>
      </c>
      <c r="F352" s="96">
        <f ca="1">IFERROR(__xludf.DUMMYFUNCTION("$C346*IMPORTRANGE(""https://docs.google.com/spreadsheets/d/1xsp01RMmkav9iTy39Zaj_7tE9677EGlOJ14KU9TZn7I/"",""2004-2017!AC2028"")"),2610.14740277085)</f>
        <v>2610.14740277085</v>
      </c>
      <c r="G352" s="126" t="s">
        <v>8</v>
      </c>
      <c r="H352" s="80"/>
      <c r="I352" s="80"/>
      <c r="J352" s="80"/>
      <c r="K352" s="77"/>
      <c r="L352" s="78"/>
      <c r="M352" s="79"/>
      <c r="N352" s="79"/>
      <c r="O352" s="79"/>
      <c r="P352" s="79"/>
      <c r="Q352" s="77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</row>
    <row r="353" spans="1:29" ht="13.2" x14ac:dyDescent="0.25">
      <c r="A353" s="136" t="s">
        <v>345</v>
      </c>
      <c r="B353" s="107">
        <v>367</v>
      </c>
      <c r="C353" s="98">
        <f>31883.2/1000</f>
        <v>31.883200000000002</v>
      </c>
      <c r="D353" s="99">
        <f ca="1">IFERROR(__xludf.DUMMYFUNCTION("$C347*IMPORTRANGE(""https://docs.google.com/spreadsheets/d/1xsp01RMmkav9iTy39Zaj_7tE9677EGlOJ14KU9TZn7I/"",""2004-2017!H2051"")"),22.187678296)</f>
        <v>22.187678296000001</v>
      </c>
      <c r="E353" s="99">
        <f ca="1">IFERROR(__xludf.DUMMYFUNCTION("$C347*IMPORTRANGE(""https://docs.google.com/spreadsheets/d/1xsp01RMmkav9iTy39Zaj_7tE9677EGlOJ14KU9TZn7I/"",""2004-2017!T2051"")"),19.649775576)</f>
        <v>19.649775576</v>
      </c>
      <c r="F353" s="99">
        <f ca="1">IFERROR(__xludf.DUMMYFUNCTION("$C347*IMPORTRANGE(""https://docs.google.com/spreadsheets/d/1xsp01RMmkav9iTy39Zaj_7tE9677EGlOJ14KU9TZn7I/"",""2004-2017!AC2051"")"),2563.776016508)</f>
        <v>2563.7760165079999</v>
      </c>
      <c r="G353" s="128" t="s">
        <v>8</v>
      </c>
      <c r="H353" s="80"/>
      <c r="I353" s="80"/>
      <c r="J353" s="80"/>
      <c r="K353" s="77"/>
      <c r="L353" s="78"/>
      <c r="M353" s="79"/>
      <c r="N353" s="79"/>
      <c r="O353" s="79"/>
      <c r="P353" s="79"/>
      <c r="Q353" s="77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</row>
    <row r="354" spans="1:29" ht="13.2" x14ac:dyDescent="0.25">
      <c r="A354" s="137" t="s">
        <v>346</v>
      </c>
      <c r="B354" s="106">
        <v>372</v>
      </c>
      <c r="C354" s="88">
        <f>49589.1/1000</f>
        <v>49.589100000000002</v>
      </c>
      <c r="D354" s="96">
        <f ca="1">IFERROR(__xludf.DUMMYFUNCTION("$C348*IMPORTRANGE(""https://docs.google.com/spreadsheets/d/1xsp01RMmkav9iTy39Zaj_7tE9677EGlOJ14KU9TZn7I/"",""2004-2017!H2073"")"),34.600298634)</f>
        <v>34.600298633999998</v>
      </c>
      <c r="E354" s="96">
        <f ca="1">IFERROR(__xludf.DUMMYFUNCTION("$C348*IMPORTRANGE(""https://docs.google.com/spreadsheets/d/1xsp01RMmkav9iTy39Zaj_7tE9677EGlOJ14KU9TZn7I/"",""2004-2017!T2073"")"),30.777970806)</f>
        <v>30.777970805999999</v>
      </c>
      <c r="F354" s="96">
        <f ca="1">IFERROR(__xludf.DUMMYFUNCTION("$C348*IMPORTRANGE(""https://docs.google.com/spreadsheets/d/1xsp01RMmkav9iTy39Zaj_7tE9677EGlOJ14KU9TZn7I/"",""2004-2017!AC2073"")"),3923.7870770109)</f>
        <v>3923.7870770108998</v>
      </c>
      <c r="G354" s="126" t="s">
        <v>8</v>
      </c>
      <c r="H354" s="80"/>
      <c r="I354" s="80"/>
      <c r="J354" s="80"/>
      <c r="K354" s="77"/>
      <c r="L354" s="78"/>
      <c r="M354" s="79"/>
      <c r="N354" s="79"/>
      <c r="O354" s="79"/>
      <c r="P354" s="79"/>
      <c r="Q354" s="77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</row>
    <row r="355" spans="1:29" ht="13.2" x14ac:dyDescent="0.25">
      <c r="A355" s="136" t="s">
        <v>347</v>
      </c>
      <c r="B355" s="107">
        <v>350</v>
      </c>
      <c r="C355" s="98">
        <f>20520.8/1000</f>
        <v>20.520799999999998</v>
      </c>
      <c r="D355" s="99">
        <f ca="1">IFERROR(__xludf.DUMMYFUNCTION("$C349*IMPORTRANGE(""https://docs.google.com/spreadsheets/d/1xsp01RMmkav9iTy39Zaj_7tE9677EGlOJ14KU9TZn7I/"",""2004-2017!H2097"")"),14.2865809599999)</f>
        <v>14.286580959999901</v>
      </c>
      <c r="E355" s="99">
        <f ca="1">IFERROR(__xludf.DUMMYFUNCTION("$C349*IMPORTRANGE(""https://docs.google.com/spreadsheets/d/1xsp01RMmkav9iTy39Zaj_7tE9677EGlOJ14KU9TZn7I/"",""2004-2017!T2097"")"),12.535541096)</f>
        <v>12.535541095999999</v>
      </c>
      <c r="F355" s="99">
        <f ca="1">IFERROR(__xludf.DUMMYFUNCTION("$C349*IMPORTRANGE(""https://docs.google.com/spreadsheets/d/1xsp01RMmkav9iTy39Zaj_7tE9677EGlOJ14KU9TZn7I/"",""2004-2017!AC2097"")"),1577.22870852079)</f>
        <v>1577.22870852079</v>
      </c>
      <c r="G355" s="128" t="s">
        <v>8</v>
      </c>
      <c r="H355" s="80"/>
      <c r="I355" s="80"/>
      <c r="J355" s="80"/>
      <c r="K355" s="77"/>
      <c r="L355" s="78"/>
      <c r="M355" s="79"/>
      <c r="N355" s="79"/>
      <c r="O355" s="79"/>
      <c r="P355" s="79"/>
      <c r="Q355" s="77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</row>
    <row r="356" spans="1:29" ht="13.2" x14ac:dyDescent="0.25">
      <c r="A356" s="137" t="s">
        <v>348</v>
      </c>
      <c r="B356" s="106">
        <v>296</v>
      </c>
      <c r="C356" s="88">
        <f>21277.1/1000</f>
        <v>21.277099999999997</v>
      </c>
      <c r="D356" s="96">
        <f ca="1">IFERROR(__xludf.DUMMYFUNCTION("$C350*IMPORTRANGE(""https://docs.google.com/spreadsheets/d/1xsp01RMmkav9iTy39Zaj_7tE9677EGlOJ14KU9TZn7I/"",""2004-2017!H2120"")"),15.5420704659999)</f>
        <v>15.542070465999901</v>
      </c>
      <c r="E356" s="96">
        <f ca="1">IFERROR(__xludf.DUMMYFUNCTION("$C350*IMPORTRANGE(""https://docs.google.com/spreadsheets/d/1xsp01RMmkav9iTy39Zaj_7tE9677EGlOJ14KU9TZn7I/"",""2004-2017!T2120"")"),13.4853195944999)</f>
        <v>13.4853195944999</v>
      </c>
      <c r="F356" s="96">
        <f ca="1">IFERROR(__xludf.DUMMYFUNCTION("$C350*IMPORTRANGE(""https://docs.google.com/spreadsheets/d/1xsp01RMmkav9iTy39Zaj_7tE9677EGlOJ14KU9TZn7I/"",""2004-2017!AC2120"")"),1633.79401787289)</f>
        <v>1633.79401787289</v>
      </c>
      <c r="G356" s="126" t="s">
        <v>8</v>
      </c>
      <c r="H356" s="80"/>
      <c r="I356" s="80"/>
      <c r="J356" s="80"/>
      <c r="K356" s="77"/>
      <c r="L356" s="78"/>
      <c r="M356" s="79"/>
      <c r="N356" s="79"/>
      <c r="O356" s="79"/>
      <c r="P356" s="79"/>
      <c r="Q356" s="77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</row>
    <row r="357" spans="1:29" ht="13.2" x14ac:dyDescent="0.25">
      <c r="A357" s="136" t="s">
        <v>349</v>
      </c>
      <c r="B357" s="107">
        <v>322</v>
      </c>
      <c r="C357" s="98">
        <f>49225/1000</f>
        <v>49.225000000000001</v>
      </c>
      <c r="D357" s="99">
        <f ca="1">IFERROR(__xludf.DUMMYFUNCTION("$C351*IMPORTRANGE(""https://docs.google.com/spreadsheets/d/1xsp01RMmkav9iTy39Zaj_7tE9677EGlOJ14KU9TZn7I/"",""2004-2017!H2142"")"),35.81561775)</f>
        <v>35.815617750000001</v>
      </c>
      <c r="E357" s="99">
        <f ca="1">IFERROR(__xludf.DUMMYFUNCTION("$C351*IMPORTRANGE(""https://docs.google.com/spreadsheets/d/1xsp01RMmkav9iTy39Zaj_7tE9677EGlOJ14KU9TZn7I/"",""2004-2017!T2142"")"),31.263782)</f>
        <v>31.263781999999999</v>
      </c>
      <c r="F357" s="99">
        <f ca="1">IFERROR(__xludf.DUMMYFUNCTION("$C351*IMPORTRANGE(""https://docs.google.com/spreadsheets/d/1xsp01RMmkav9iTy39Zaj_7tE9677EGlOJ14KU9TZn7I/"",""2004-2017!AC2142"")"),3778.51109845)</f>
        <v>3778.5110984500002</v>
      </c>
      <c r="G357" s="128" t="s">
        <v>8</v>
      </c>
      <c r="H357" s="80"/>
      <c r="I357" s="80"/>
      <c r="J357" s="80"/>
      <c r="K357" s="77"/>
      <c r="L357" s="78"/>
      <c r="M357" s="79"/>
      <c r="N357" s="79"/>
      <c r="O357" s="79"/>
      <c r="P357" s="79"/>
      <c r="Q357" s="77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</row>
    <row r="358" spans="1:29" ht="13.2" x14ac:dyDescent="0.25">
      <c r="A358" s="137" t="s">
        <v>350</v>
      </c>
      <c r="B358" s="106">
        <v>374</v>
      </c>
      <c r="C358" s="88">
        <f>41240/1000</f>
        <v>41.24</v>
      </c>
      <c r="D358" s="96">
        <f ca="1">IFERROR(__xludf.DUMMYFUNCTION("$C352*IMPORTRANGE(""https://docs.google.com/spreadsheets/d/1xsp01RMmkav9iTy39Zaj_7tE9677EGlOJ14KU9TZn7I/"",""2004-2017!H2165"")"),30.4841956)</f>
        <v>30.4841956</v>
      </c>
      <c r="E358" s="96">
        <f ca="1">IFERROR(__xludf.DUMMYFUNCTION("$C352*IMPORTRANGE(""https://docs.google.com/spreadsheets/d/1xsp01RMmkav9iTy39Zaj_7tE9677EGlOJ14KU9TZn7I/"",""2004-2017!T2165"")"),26.0143982)</f>
        <v>26.014398199999999</v>
      </c>
      <c r="F358" s="96">
        <f ca="1">IFERROR(__xludf.DUMMYFUNCTION("$C352*IMPORTRANGE(""https://docs.google.com/spreadsheets/d/1xsp01RMmkav9iTy39Zaj_7tE9677EGlOJ14KU9TZn7I/"",""2004-2017!AC2165"")"),3202.67778)</f>
        <v>3202.67778</v>
      </c>
      <c r="G358" s="126" t="s">
        <v>8</v>
      </c>
      <c r="H358" s="80"/>
      <c r="I358" s="80"/>
      <c r="J358" s="80"/>
      <c r="K358" s="77"/>
      <c r="L358" s="78"/>
      <c r="M358" s="79"/>
      <c r="N358" s="79"/>
      <c r="O358" s="79"/>
      <c r="P358" s="79"/>
      <c r="Q358" s="77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</row>
    <row r="359" spans="1:29" ht="13.2" x14ac:dyDescent="0.25">
      <c r="A359" s="138" t="s">
        <v>351</v>
      </c>
      <c r="B359" s="108">
        <v>450</v>
      </c>
      <c r="C359" s="101">
        <f>48078.9/1000</f>
        <v>48.078900000000004</v>
      </c>
      <c r="D359" s="102">
        <f ca="1">IFERROR(__xludf.DUMMYFUNCTION("$C353*IMPORTRANGE(""https://docs.google.com/spreadsheets/d/1xsp01RMmkav9iTy39Zaj_7tE9677EGlOJ14KU9TZn7I/"",""2004-2017!H2188"")"),36.802474794)</f>
        <v>36.802474793999998</v>
      </c>
      <c r="E359" s="102">
        <f ca="1">IFERROR(__xludf.DUMMYFUNCTION("$C353*IMPORTRANGE(""https://docs.google.com/spreadsheets/d/1xsp01RMmkav9iTy39Zaj_7tE9677EGlOJ14KU9TZn7I/"",""2004-2017!T2188"")"),30.7914103215)</f>
        <v>30.791410321499999</v>
      </c>
      <c r="F359" s="102">
        <f ca="1">IFERROR(__xludf.DUMMYFUNCTION("$C353*IMPORTRANGE(""https://docs.google.com/spreadsheets/d/1xsp01RMmkav9iTy39Zaj_7tE9677EGlOJ14KU9TZn7I/"",""2004-2017!AC2188"")"),3743.18273546055)</f>
        <v>3743.1827354605498</v>
      </c>
      <c r="G359" s="129" t="s">
        <v>8</v>
      </c>
      <c r="H359" s="80"/>
      <c r="I359" s="80"/>
      <c r="J359" s="80"/>
      <c r="K359" s="77"/>
      <c r="L359" s="78"/>
      <c r="M359" s="79"/>
      <c r="N359" s="79"/>
      <c r="O359" s="79"/>
      <c r="P359" s="79"/>
      <c r="Q359" s="77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</row>
    <row r="360" spans="1:29" ht="13.2" x14ac:dyDescent="0.25">
      <c r="A360" s="120">
        <v>2012</v>
      </c>
      <c r="B360" s="121"/>
      <c r="C360" s="139"/>
      <c r="D360" s="139"/>
      <c r="E360" s="139"/>
      <c r="F360" s="139"/>
      <c r="G360" s="123"/>
      <c r="H360" s="80"/>
      <c r="I360" s="80"/>
      <c r="J360" s="80"/>
      <c r="K360" s="77"/>
      <c r="L360" s="78"/>
      <c r="M360" s="79"/>
      <c r="N360" s="79"/>
      <c r="O360" s="79"/>
      <c r="P360" s="79"/>
      <c r="Q360" s="77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</row>
    <row r="361" spans="1:29" ht="13.2" x14ac:dyDescent="0.25">
      <c r="A361" s="135" t="s">
        <v>352</v>
      </c>
      <c r="B361" s="105">
        <v>320</v>
      </c>
      <c r="C361" s="85">
        <f>18359.4/1000</f>
        <v>18.359400000000001</v>
      </c>
      <c r="D361" s="95">
        <f ca="1">IFERROR(__xludf.DUMMYFUNCTION("$C355*IMPORTRANGE(""https://docs.google.com/spreadsheets/d/1xsp01RMmkav9iTy39Zaj_7tE9677EGlOJ14KU9TZn7I/"",""2004-2017!H2212"")"),14.223210774)</f>
        <v>14.223210774</v>
      </c>
      <c r="E361" s="95">
        <f ca="1">IFERROR(__xludf.DUMMYFUNCTION("$C355*IMPORTRANGE(""https://docs.google.com/spreadsheets/d/1xsp01RMmkav9iTy39Zaj_7tE9677EGlOJ14KU9TZn7I/"",""2004-2017!T2212"")"),11.839518075)</f>
        <v>11.839518075000001</v>
      </c>
      <c r="F361" s="95">
        <f ca="1">IFERROR(__xludf.DUMMYFUNCTION("$C355*IMPORTRANGE(""https://docs.google.com/spreadsheets/d/1xsp01RMmkav9iTy39Zaj_7tE9677EGlOJ14KU9TZn7I/"",""2004-2017!AC2212"")"),1411.5625148985)</f>
        <v>1411.5625148985</v>
      </c>
      <c r="G361" s="124" t="s">
        <v>8</v>
      </c>
      <c r="H361" s="80"/>
      <c r="I361" s="80"/>
      <c r="J361" s="80"/>
      <c r="K361" s="77"/>
      <c r="L361" s="78"/>
      <c r="M361" s="79"/>
      <c r="N361" s="79"/>
      <c r="O361" s="79"/>
      <c r="P361" s="79"/>
      <c r="Q361" s="77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</row>
    <row r="362" spans="1:29" ht="13.2" x14ac:dyDescent="0.25">
      <c r="A362" s="136" t="s">
        <v>353</v>
      </c>
      <c r="B362" s="107">
        <v>330</v>
      </c>
      <c r="C362" s="98">
        <f>94244.7/1000</f>
        <v>94.244699999999995</v>
      </c>
      <c r="D362" s="99">
        <f ca="1">IFERROR(__xludf.DUMMYFUNCTION("$C356*IMPORTRANGE(""https://docs.google.com/spreadsheets/d/1xsp01RMmkav9iTy39Zaj_7tE9677EGlOJ14KU9TZn7I/"",""2004-2017!H2234"")"),71.250878094)</f>
        <v>71.250878094000001</v>
      </c>
      <c r="E362" s="99">
        <f ca="1">IFERROR(__xludf.DUMMYFUNCTION("$C356*IMPORTRANGE(""https://docs.google.com/spreadsheets/d/1xsp01RMmkav9iTy39Zaj_7tE9677EGlOJ14KU9TZn7I/"",""2004-2017!T2234"")"),59.61919722)</f>
        <v>59.619197219999997</v>
      </c>
      <c r="F362" s="99">
        <f ca="1">IFERROR(__xludf.DUMMYFUNCTION("$C356*IMPORTRANGE(""https://docs.google.com/spreadsheets/d/1xsp01RMmkav9iTy39Zaj_7tE9677EGlOJ14KU9TZn7I/"",""2004-2017!AC2234"")"),7385.01478624469)</f>
        <v>7385.0147862446902</v>
      </c>
      <c r="G362" s="128" t="s">
        <v>8</v>
      </c>
      <c r="H362" s="80"/>
      <c r="I362" s="80"/>
      <c r="J362" s="80"/>
      <c r="K362" s="77"/>
      <c r="L362" s="78"/>
      <c r="M362" s="79"/>
      <c r="N362" s="79"/>
      <c r="O362" s="79"/>
      <c r="P362" s="79"/>
      <c r="Q362" s="77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</row>
    <row r="363" spans="1:29" ht="13.2" x14ac:dyDescent="0.25">
      <c r="A363" s="137" t="s">
        <v>354</v>
      </c>
      <c r="B363" s="106">
        <v>323</v>
      </c>
      <c r="C363" s="88">
        <f>38102.8/1000</f>
        <v>38.102800000000002</v>
      </c>
      <c r="D363" s="96">
        <f ca="1">IFERROR(__xludf.DUMMYFUNCTION("$C357*IMPORTRANGE(""https://docs.google.com/spreadsheets/d/1xsp01RMmkav9iTy39Zaj_7tE9677EGlOJ14KU9TZn7I/"",""2004-2017!H2257"")"),28.81714764)</f>
        <v>28.817147640000002</v>
      </c>
      <c r="E363" s="96">
        <f ca="1">IFERROR(__xludf.DUMMYFUNCTION("$C357*IMPORTRANGE(""https://docs.google.com/spreadsheets/d/1xsp01RMmkav9iTy39Zaj_7tE9677EGlOJ14KU9TZn7I/"",""2004-2017!T2257"")"),24.039628062)</f>
        <v>24.039628061999998</v>
      </c>
      <c r="F363" s="96">
        <f ca="1">IFERROR(__xludf.DUMMYFUNCTION("$C357*IMPORTRANGE(""https://docs.google.com/spreadsheets/d/1xsp01RMmkav9iTy39Zaj_7tE9677EGlOJ14KU9TZn7I/"",""2004-2017!AC2257"")"),3145.3670695486)</f>
        <v>3145.3670695485998</v>
      </c>
      <c r="G363" s="126" t="s">
        <v>8</v>
      </c>
      <c r="H363" s="80"/>
      <c r="I363" s="80"/>
      <c r="J363" s="80"/>
      <c r="K363" s="77"/>
      <c r="L363" s="78"/>
      <c r="M363" s="79"/>
      <c r="N363" s="79"/>
      <c r="O363" s="79"/>
      <c r="P363" s="79"/>
      <c r="Q363" s="77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</row>
    <row r="364" spans="1:29" ht="13.2" x14ac:dyDescent="0.25">
      <c r="A364" s="136" t="s">
        <v>355</v>
      </c>
      <c r="B364" s="107">
        <v>301</v>
      </c>
      <c r="C364" s="98">
        <f>19029.4/1000</f>
        <v>19.029400000000003</v>
      </c>
      <c r="D364" s="99">
        <f ca="1">IFERROR(__xludf.DUMMYFUNCTION("$C358*IMPORTRANGE(""https://docs.google.com/spreadsheets/d/1xsp01RMmkav9iTy39Zaj_7tE9677EGlOJ14KU9TZn7I/"",""2004-2017!H2279"")"),14.47566458)</f>
        <v>14.47566458</v>
      </c>
      <c r="E364" s="99">
        <f ca="1">IFERROR(__xludf.DUMMYFUNCTION("$C358*IMPORTRANGE(""https://docs.google.com/spreadsheets/d/1xsp01RMmkav9iTy39Zaj_7tE9677EGlOJ14KU9TZn7I/"",""2004-2017!T2279"")"),11.92382204)</f>
        <v>11.923822039999999</v>
      </c>
      <c r="F364" s="99">
        <f ca="1">IFERROR(__xludf.DUMMYFUNCTION("$C358*IMPORTRANGE(""https://docs.google.com/spreadsheets/d/1xsp01RMmkav9iTy39Zaj_7tE9677EGlOJ14KU9TZn7I/"",""2004-2017!AC2279"")"),1547.0902770882)</f>
        <v>1547.0902770882001</v>
      </c>
      <c r="G364" s="128" t="s">
        <v>8</v>
      </c>
      <c r="H364" s="80"/>
      <c r="I364" s="80"/>
      <c r="J364" s="80"/>
      <c r="K364" s="77"/>
      <c r="L364" s="78"/>
      <c r="M364" s="79"/>
      <c r="N364" s="79"/>
      <c r="O364" s="79"/>
      <c r="P364" s="79"/>
      <c r="Q364" s="77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</row>
    <row r="365" spans="1:29" ht="13.2" x14ac:dyDescent="0.25">
      <c r="A365" s="137" t="s">
        <v>356</v>
      </c>
      <c r="B365" s="106">
        <v>347</v>
      </c>
      <c r="C365" s="88">
        <f>19050.3/1000</f>
        <v>19.0503</v>
      </c>
      <c r="D365" s="96">
        <f ca="1">IFERROR(__xludf.DUMMYFUNCTION("$C359*IMPORTRANGE(""https://docs.google.com/spreadsheets/d/1xsp01RMmkav9iTy39Zaj_7tE9677EGlOJ14KU9TZn7I/"",""2004-2017!H2303"")"),14.8706641799999)</f>
        <v>14.870664179999901</v>
      </c>
      <c r="E365" s="96">
        <f ca="1">IFERROR(__xludf.DUMMYFUNCTION("$C359*IMPORTRANGE(""https://docs.google.com/spreadsheets/d/1xsp01RMmkav9iTy39Zaj_7tE9677EGlOJ14KU9TZn7I/"",""2004-2017!T2303"")"),11.9159626499999)</f>
        <v>11.9159626499999</v>
      </c>
      <c r="F365" s="96">
        <f ca="1">IFERROR(__xludf.DUMMYFUNCTION("$C359*IMPORTRANGE(""https://docs.google.com/spreadsheets/d/1xsp01RMmkav9iTy39Zaj_7tE9677EGlOJ14KU9TZn7I/"",""2004-2017!AC2303"")"),1521.1664168994)</f>
        <v>1521.1664168994</v>
      </c>
      <c r="G365" s="126" t="s">
        <v>8</v>
      </c>
      <c r="H365" s="80"/>
      <c r="I365" s="80"/>
      <c r="J365" s="80"/>
      <c r="K365" s="77"/>
      <c r="L365" s="78"/>
      <c r="M365" s="79"/>
      <c r="N365" s="79"/>
      <c r="O365" s="79"/>
      <c r="P365" s="79"/>
      <c r="Q365" s="77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</row>
    <row r="366" spans="1:29" ht="13.2" x14ac:dyDescent="0.25">
      <c r="A366" s="136" t="s">
        <v>357</v>
      </c>
      <c r="B366" s="107">
        <v>338</v>
      </c>
      <c r="C366" s="98">
        <f>21559.3/1000</f>
        <v>21.5593</v>
      </c>
      <c r="D366" s="99">
        <f ca="1">IFERROR(__xludf.DUMMYFUNCTION("$C360*IMPORTRANGE(""https://docs.google.com/spreadsheets/d/1xsp01RMmkav9iTy39Zaj_7tE9677EGlOJ14KU9TZn7I/"",""2004-2017!H2325"")"),17.19569768)</f>
        <v>17.195697679999999</v>
      </c>
      <c r="E366" s="99">
        <f ca="1">IFERROR(__xludf.DUMMYFUNCTION("$C360*IMPORTRANGE(""https://docs.google.com/spreadsheets/d/1xsp01RMmkav9iTy39Zaj_7tE9677EGlOJ14KU9TZn7I/"",""2004-2017!T2325"")"),13.86047397)</f>
        <v>13.860473969999999</v>
      </c>
      <c r="F366" s="99">
        <f ca="1">IFERROR(__xludf.DUMMYFUNCTION("$C360*IMPORTRANGE(""https://docs.google.com/spreadsheets/d/1xsp01RMmkav9iTy39Zaj_7tE9677EGlOJ14KU9TZn7I/"",""2004-2017!AC2325"")"),1711.2048027186)</f>
        <v>1711.2048027185999</v>
      </c>
      <c r="G366" s="128" t="s">
        <v>8</v>
      </c>
      <c r="H366" s="80"/>
      <c r="I366" s="80"/>
      <c r="J366" s="80"/>
      <c r="K366" s="77"/>
      <c r="L366" s="78"/>
      <c r="M366" s="79"/>
      <c r="N366" s="79"/>
      <c r="O366" s="79"/>
      <c r="P366" s="79"/>
      <c r="Q366" s="77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</row>
    <row r="367" spans="1:29" ht="13.2" x14ac:dyDescent="0.25">
      <c r="A367" s="137" t="s">
        <v>358</v>
      </c>
      <c r="B367" s="106">
        <v>307</v>
      </c>
      <c r="C367" s="88">
        <f>30706.9/1000</f>
        <v>30.706900000000001</v>
      </c>
      <c r="D367" s="96">
        <f ca="1">IFERROR(__xludf.DUMMYFUNCTION("$C361*IMPORTRANGE(""https://docs.google.com/spreadsheets/d/1xsp01RMmkav9iTy39Zaj_7tE9677EGlOJ14KU9TZn7I/"",""2004-2017!H2348"")"),25.017525568)</f>
        <v>25.017525568</v>
      </c>
      <c r="E367" s="96">
        <f ca="1">IFERROR(__xludf.DUMMYFUNCTION("$C361*IMPORTRANGE(""https://docs.google.com/spreadsheets/d/1xsp01RMmkav9iTy39Zaj_7tE9677EGlOJ14KU9TZn7I/"",""2004-2017!T2348"")"),19.688957211)</f>
        <v>19.688957211000002</v>
      </c>
      <c r="F367" s="96">
        <f ca="1">IFERROR(__xludf.DUMMYFUNCTION("$C361*IMPORTRANGE(""https://docs.google.com/spreadsheets/d/1xsp01RMmkav9iTy39Zaj_7tE9677EGlOJ14KU9TZn7I/"",""2004-2017!AC2348"")"),2429.92910234655)</f>
        <v>2429.9291023465498</v>
      </c>
      <c r="G367" s="126" t="s">
        <v>8</v>
      </c>
      <c r="H367" s="80"/>
      <c r="I367" s="80"/>
      <c r="J367" s="80"/>
      <c r="K367" s="77"/>
      <c r="L367" s="78"/>
      <c r="M367" s="79"/>
      <c r="N367" s="79"/>
      <c r="O367" s="79"/>
      <c r="P367" s="79"/>
      <c r="Q367" s="77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</row>
    <row r="368" spans="1:29" ht="13.2" x14ac:dyDescent="0.25">
      <c r="A368" s="136" t="s">
        <v>359</v>
      </c>
      <c r="B368" s="107">
        <v>315</v>
      </c>
      <c r="C368" s="98">
        <f>30534/1000</f>
        <v>30.533999999999999</v>
      </c>
      <c r="D368" s="99">
        <f ca="1">IFERROR(__xludf.DUMMYFUNCTION("$C362*IMPORTRANGE(""https://docs.google.com/spreadsheets/d/1xsp01RMmkav9iTy39Zaj_7tE9677EGlOJ14KU9TZn7I/"",""2004-2017!H2372"")"),24.67727346)</f>
        <v>24.677273459999999</v>
      </c>
      <c r="E368" s="99">
        <f ca="1">IFERROR(__xludf.DUMMYFUNCTION("$C362*IMPORTRANGE(""https://docs.google.com/spreadsheets/d/1xsp01RMmkav9iTy39Zaj_7tE9677EGlOJ14KU9TZn7I/"",""2004-2017!T2372"")"),19.4715318)</f>
        <v>19.471531800000001</v>
      </c>
      <c r="F368" s="99">
        <f ca="1">IFERROR(__xludf.DUMMYFUNCTION("$C362*IMPORTRANGE(""https://docs.google.com/spreadsheets/d/1xsp01RMmkav9iTy39Zaj_7tE9677EGlOJ14KU9TZn7I/"",""2004-2017!AC2372"")"),2400.277770534)</f>
        <v>2400.277770534</v>
      </c>
      <c r="G368" s="128" t="s">
        <v>8</v>
      </c>
      <c r="H368" s="80"/>
      <c r="I368" s="80"/>
      <c r="J368" s="80"/>
      <c r="K368" s="77"/>
      <c r="L368" s="78"/>
      <c r="M368" s="79"/>
      <c r="N368" s="79"/>
      <c r="O368" s="79"/>
      <c r="P368" s="79"/>
      <c r="Q368" s="77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</row>
    <row r="369" spans="1:29" ht="13.2" x14ac:dyDescent="0.25">
      <c r="A369" s="137" t="s">
        <v>360</v>
      </c>
      <c r="B369" s="106">
        <v>323</v>
      </c>
      <c r="C369" s="88">
        <f>19189.8/1000</f>
        <v>19.189799999999998</v>
      </c>
      <c r="D369" s="96">
        <f ca="1">IFERROR(__xludf.DUMMYFUNCTION("$C363*IMPORTRANGE(""https://docs.google.com/spreadsheets/d/1xsp01RMmkav9iTy39Zaj_7tE9677EGlOJ14KU9TZn7I/"",""2004-2017!H2393"")"),14.873918031)</f>
        <v>14.873918031000001</v>
      </c>
      <c r="E369" s="96">
        <f ca="1">IFERROR(__xludf.DUMMYFUNCTION("$C363*IMPORTRANGE(""https://docs.google.com/spreadsheets/d/1xsp01RMmkav9iTy39Zaj_7tE9677EGlOJ14KU9TZn7I/"",""2004-2017!T2393"")"),11.8698507899999)</f>
        <v>11.8698507899999</v>
      </c>
      <c r="F369" s="96">
        <f ca="1">IFERROR(__xludf.DUMMYFUNCTION("$C363*IMPORTRANGE(""https://docs.google.com/spreadsheets/d/1xsp01RMmkav9iTy39Zaj_7tE9677EGlOJ14KU9TZn7I/"",""2004-2017!AC2393"")"),1501.07413049999)</f>
        <v>1501.0741304999899</v>
      </c>
      <c r="G369" s="126" t="s">
        <v>8</v>
      </c>
      <c r="H369" s="80"/>
      <c r="I369" s="80"/>
      <c r="J369" s="80"/>
      <c r="K369" s="77"/>
      <c r="L369" s="78"/>
      <c r="M369" s="79"/>
      <c r="N369" s="79"/>
      <c r="O369" s="79"/>
      <c r="P369" s="79"/>
      <c r="Q369" s="77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</row>
    <row r="370" spans="1:29" ht="13.2" x14ac:dyDescent="0.25">
      <c r="A370" s="136" t="s">
        <v>361</v>
      </c>
      <c r="B370" s="107">
        <v>369</v>
      </c>
      <c r="C370" s="98">
        <f>87585/1000</f>
        <v>87.584999999999994</v>
      </c>
      <c r="D370" s="99">
        <f ca="1">IFERROR(__xludf.DUMMYFUNCTION("$C364*IMPORTRANGE(""https://docs.google.com/spreadsheets/d/1xsp01RMmkav9iTy39Zaj_7tE9677EGlOJ14KU9TZn7I/"",""2004-2017!H2417"")"),67.56744825)</f>
        <v>67.567448249999998</v>
      </c>
      <c r="E370" s="99">
        <f ca="1">IFERROR(__xludf.DUMMYFUNCTION("$C364*IMPORTRANGE(""https://docs.google.com/spreadsheets/d/1xsp01RMmkav9iTy39Zaj_7tE9677EGlOJ14KU9TZn7I/"",""2004-2017!T2417"")"),54.4866284999999)</f>
        <v>54.486628499999902</v>
      </c>
      <c r="F370" s="99">
        <f ca="1">IFERROR(__xludf.DUMMYFUNCTION("$C364*IMPORTRANGE(""https://docs.google.com/spreadsheets/d/1xsp01RMmkav9iTy39Zaj_7tE9677EGlOJ14KU9TZn7I/"",""2004-2017!AC2417"")"),6900.734652585)</f>
        <v>6900.7346525849998</v>
      </c>
      <c r="G370" s="128" t="s">
        <v>8</v>
      </c>
      <c r="H370" s="80"/>
      <c r="I370" s="80"/>
      <c r="J370" s="80"/>
      <c r="K370" s="77"/>
      <c r="L370" s="78"/>
      <c r="M370" s="79"/>
      <c r="N370" s="79"/>
      <c r="O370" s="79"/>
      <c r="P370" s="79"/>
      <c r="Q370" s="77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</row>
    <row r="371" spans="1:29" ht="13.2" x14ac:dyDescent="0.25">
      <c r="A371" s="137" t="s">
        <v>362</v>
      </c>
      <c r="B371" s="106">
        <v>350</v>
      </c>
      <c r="C371" s="88">
        <f>27029.4/1000</f>
        <v>27.029400000000003</v>
      </c>
      <c r="D371" s="96">
        <f ca="1">IFERROR(__xludf.DUMMYFUNCTION("$C365*IMPORTRANGE(""https://docs.google.com/spreadsheets/d/1xsp01RMmkav9iTy39Zaj_7tE9677EGlOJ14KU9TZn7I/"",""2004-2017!H2440"")"),21.098203611)</f>
        <v>21.098203610999999</v>
      </c>
      <c r="E371" s="96">
        <f ca="1">IFERROR(__xludf.DUMMYFUNCTION("$C365*IMPORTRANGE(""https://docs.google.com/spreadsheets/d/1xsp01RMmkav9iTy39Zaj_7tE9677EGlOJ14KU9TZn7I/"",""2004-2017!T2440"")"),16.914728226)</f>
        <v>16.914728226000001</v>
      </c>
      <c r="F371" s="96">
        <f ca="1">IFERROR(__xludf.DUMMYFUNCTION("$C365*IMPORTRANGE(""https://docs.google.com/spreadsheets/d/1xsp01RMmkav9iTy39Zaj_7tE9677EGlOJ14KU9TZn7I/"",""2004-2017!AC2440"")"),2184.2458545441)</f>
        <v>2184.2458545441</v>
      </c>
      <c r="G371" s="126" t="s">
        <v>8</v>
      </c>
      <c r="H371" s="80"/>
      <c r="I371" s="80"/>
      <c r="J371" s="80"/>
      <c r="K371" s="77"/>
      <c r="L371" s="78"/>
      <c r="M371" s="79"/>
      <c r="N371" s="79"/>
      <c r="O371" s="79"/>
      <c r="P371" s="79"/>
      <c r="Q371" s="77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</row>
    <row r="372" spans="1:29" ht="13.2" x14ac:dyDescent="0.25">
      <c r="A372" s="138" t="s">
        <v>363</v>
      </c>
      <c r="B372" s="108">
        <v>460</v>
      </c>
      <c r="C372" s="101">
        <f>42609.1/1000</f>
        <v>42.609099999999998</v>
      </c>
      <c r="D372" s="102">
        <f ca="1">IFERROR(__xludf.DUMMYFUNCTION("$C366*IMPORTRANGE(""https://docs.google.com/spreadsheets/d/1xsp01RMmkav9iTy39Zaj_7tE9677EGlOJ14KU9TZn7I/"",""2004-2017!H2462"")"),32.364594087)</f>
        <v>32.364594087</v>
      </c>
      <c r="E372" s="102">
        <f ca="1">IFERROR(__xludf.DUMMYFUNCTION("$C366*IMPORTRANGE(""https://docs.google.com/spreadsheets/d/1xsp01RMmkav9iTy39Zaj_7tE9677EGlOJ14KU9TZn7I/"",""2004-2017!T2462"")"),26.4219029099999)</f>
        <v>26.421902909999901</v>
      </c>
      <c r="F372" s="102">
        <f ca="1">IFERROR(__xludf.DUMMYFUNCTION("$C366*IMPORTRANGE(""https://docs.google.com/spreadsheets/d/1xsp01RMmkav9iTy39Zaj_7tE9677EGlOJ14KU9TZn7I/"",""2004-2017!AC2462"")"),3575.0313173)</f>
        <v>3575.0313173</v>
      </c>
      <c r="G372" s="129" t="s">
        <v>8</v>
      </c>
      <c r="H372" s="80"/>
      <c r="I372" s="80"/>
      <c r="J372" s="80"/>
      <c r="K372" s="77"/>
      <c r="L372" s="78"/>
      <c r="M372" s="79"/>
      <c r="N372" s="79"/>
      <c r="O372" s="79"/>
      <c r="P372" s="79"/>
      <c r="Q372" s="77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</row>
    <row r="373" spans="1:29" ht="13.2" x14ac:dyDescent="0.25">
      <c r="A373" s="120">
        <v>2013</v>
      </c>
      <c r="B373" s="121"/>
      <c r="C373" s="121"/>
      <c r="D373" s="139"/>
      <c r="E373" s="139"/>
      <c r="F373" s="139"/>
      <c r="G373" s="123"/>
      <c r="H373" s="80"/>
      <c r="I373" s="80"/>
      <c r="J373" s="80"/>
      <c r="K373" s="77"/>
      <c r="L373" s="78"/>
      <c r="M373" s="79"/>
      <c r="N373" s="79"/>
      <c r="O373" s="79"/>
      <c r="P373" s="79"/>
      <c r="Q373" s="77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</row>
    <row r="374" spans="1:29" ht="13.2" x14ac:dyDescent="0.25">
      <c r="A374" s="135" t="s">
        <v>364</v>
      </c>
      <c r="B374" s="105">
        <v>342</v>
      </c>
      <c r="C374" s="85">
        <f>19104.2/1000</f>
        <v>19.104200000000002</v>
      </c>
      <c r="D374" s="95">
        <f ca="1">IFERROR(__xludf.DUMMYFUNCTION("$C368*IMPORTRANGE(""https://docs.google.com/spreadsheets/d/1xsp01RMmkav9iTy39Zaj_7tE9677EGlOJ14KU9TZn7I/"",""2004-2017!H2487"")"),14.35489588)</f>
        <v>14.354895880000001</v>
      </c>
      <c r="E374" s="95">
        <f ca="1">IFERROR(__xludf.DUMMYFUNCTION("$C368*IMPORTRANGE(""https://docs.google.com/spreadsheets/d/1xsp01RMmkav9iTy39Zaj_7tE9677EGlOJ14KU9TZn7I/"",""2004-2017!T2487"")"),11.92866248)</f>
        <v>11.92866248</v>
      </c>
      <c r="F374" s="95">
        <f ca="1">IFERROR(__xludf.DUMMYFUNCTION("$C368*IMPORTRANGE(""https://docs.google.com/spreadsheets/d/1xsp01RMmkav9iTy39Zaj_7tE9677EGlOJ14KU9TZn7I/"",""2004-2017!AC2487"")"),1695.49775)</f>
        <v>1695.49775</v>
      </c>
      <c r="G374" s="124" t="s">
        <v>8</v>
      </c>
      <c r="H374" s="80"/>
      <c r="I374" s="80"/>
      <c r="J374" s="80"/>
      <c r="K374" s="77"/>
      <c r="L374" s="78"/>
      <c r="M374" s="79"/>
      <c r="N374" s="79"/>
      <c r="O374" s="79"/>
      <c r="P374" s="79"/>
      <c r="Q374" s="77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</row>
    <row r="375" spans="1:29" ht="13.2" x14ac:dyDescent="0.25">
      <c r="A375" s="136" t="s">
        <v>365</v>
      </c>
      <c r="B375" s="107">
        <v>319</v>
      </c>
      <c r="C375" s="98">
        <f>47398.2/1000</f>
        <v>47.398199999999996</v>
      </c>
      <c r="D375" s="99">
        <f ca="1">IFERROR(__xludf.DUMMYFUNCTION("$C369*IMPORTRANGE(""https://docs.google.com/spreadsheets/d/1xsp01RMmkav9iTy39Zaj_7tE9677EGlOJ14KU9TZn7I/"",""2004-2017!H2508"")"),35.4277845899999)</f>
        <v>35.427784589999902</v>
      </c>
      <c r="E375" s="99">
        <f ca="1">IFERROR(__xludf.DUMMYFUNCTION("$C369*IMPORTRANGE(""https://docs.google.com/spreadsheets/d/1xsp01RMmkav9iTy39Zaj_7tE9677EGlOJ14KU9TZn7I/"",""2004-2017!T2508"")"),30.5602264409999)</f>
        <v>30.560226440999902</v>
      </c>
      <c r="F375" s="99">
        <f ca="1">IFERROR(__xludf.DUMMYFUNCTION("$C369*IMPORTRANGE(""https://docs.google.com/spreadsheets/d/1xsp01RMmkav9iTy39Zaj_7tE9677EGlOJ14KU9TZn7I/"",""2004-2017!AC2508"")"),4421.32772400269)</f>
        <v>4421.32772400269</v>
      </c>
      <c r="G375" s="128" t="s">
        <v>8</v>
      </c>
      <c r="H375" s="80"/>
      <c r="I375" s="80"/>
      <c r="J375" s="80"/>
      <c r="K375" s="77"/>
      <c r="L375" s="78"/>
      <c r="M375" s="79"/>
      <c r="N375" s="79"/>
      <c r="O375" s="79"/>
      <c r="P375" s="79"/>
      <c r="Q375" s="77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</row>
    <row r="376" spans="1:29" ht="13.2" x14ac:dyDescent="0.25">
      <c r="A376" s="137" t="s">
        <v>366</v>
      </c>
      <c r="B376" s="106">
        <v>327</v>
      </c>
      <c r="C376" s="88">
        <f>19185.1/1000</f>
        <v>19.185099999999998</v>
      </c>
      <c r="D376" s="96">
        <f ca="1">IFERROR(__xludf.DUMMYFUNCTION("$C370*IMPORTRANGE(""https://docs.google.com/spreadsheets/d/1xsp01RMmkav9iTy39Zaj_7tE9677EGlOJ14KU9TZn7I/"",""2004-2017!H2530"")"),14.7821195499999)</f>
        <v>14.7821195499999</v>
      </c>
      <c r="E376" s="96">
        <f ca="1">IFERROR(__xludf.DUMMYFUNCTION("$C370*IMPORTRANGE(""https://docs.google.com/spreadsheets/d/1xsp01RMmkav9iTy39Zaj_7tE9677EGlOJ14KU9TZn7I/"",""2004-2017!T2530"")"),12.7062917299999)</f>
        <v>12.706291729999901</v>
      </c>
      <c r="F376" s="96">
        <f ca="1">IFERROR(__xludf.DUMMYFUNCTION("$C370*IMPORTRANGE(""https://docs.google.com/spreadsheets/d/1xsp01RMmkav9iTy39Zaj_7tE9677EGlOJ14KU9TZn7I/"",""2004-2017!AC2530"")"),1820.45495389999)</f>
        <v>1820.45495389999</v>
      </c>
      <c r="G376" s="126" t="s">
        <v>8</v>
      </c>
      <c r="H376" s="80"/>
      <c r="I376" s="80"/>
      <c r="J376" s="80"/>
      <c r="K376" s="77"/>
      <c r="L376" s="78"/>
      <c r="M376" s="79"/>
      <c r="N376" s="79"/>
      <c r="O376" s="79"/>
      <c r="P376" s="79"/>
      <c r="Q376" s="77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</row>
    <row r="377" spans="1:29" ht="13.2" x14ac:dyDescent="0.25">
      <c r="A377" s="136" t="s">
        <v>367</v>
      </c>
      <c r="B377" s="107">
        <v>285</v>
      </c>
      <c r="C377" s="98">
        <f>32074.8/1000</f>
        <v>32.074799999999996</v>
      </c>
      <c r="D377" s="99">
        <f ca="1">IFERROR(__xludf.DUMMYFUNCTION("$C371*IMPORTRANGE(""https://docs.google.com/spreadsheets/d/1xsp01RMmkav9iTy39Zaj_7tE9677EGlOJ14KU9TZn7I/"",""2004-2017!H2553"")"),24.5996074859999)</f>
        <v>24.599607485999901</v>
      </c>
      <c r="E377" s="99">
        <f ca="1">IFERROR(__xludf.DUMMYFUNCTION("$C371*IMPORTRANGE(""https://docs.google.com/spreadsheets/d/1xsp01RMmkav9iTy39Zaj_7tE9677EGlOJ14KU9TZn7I/"",""2004-2017!T2553"")"),20.9770795739999)</f>
        <v>20.977079573999902</v>
      </c>
      <c r="F377" s="99">
        <f ca="1">IFERROR(__xludf.DUMMYFUNCTION("$C371*IMPORTRANGE(""https://docs.google.com/spreadsheets/d/1xsp01RMmkav9iTy39Zaj_7tE9677EGlOJ14KU9TZn7I/"",""2004-2017!AC2553"")"),3153.09719263739)</f>
        <v>3153.09719263739</v>
      </c>
      <c r="G377" s="128" t="s">
        <v>8</v>
      </c>
      <c r="H377" s="80"/>
      <c r="I377" s="80"/>
      <c r="J377" s="80"/>
      <c r="K377" s="77"/>
      <c r="L377" s="78"/>
      <c r="M377" s="79"/>
      <c r="N377" s="79"/>
      <c r="O377" s="79"/>
      <c r="P377" s="79"/>
      <c r="Q377" s="77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</row>
    <row r="378" spans="1:29" ht="13.2" x14ac:dyDescent="0.25">
      <c r="A378" s="137" t="s">
        <v>368</v>
      </c>
      <c r="B378" s="106">
        <v>307</v>
      </c>
      <c r="C378" s="88">
        <f>28484.3/1000</f>
        <v>28.484299999999998</v>
      </c>
      <c r="D378" s="96">
        <f ca="1">IFERROR(__xludf.DUMMYFUNCTION("$C372*IMPORTRANGE(""https://docs.google.com/spreadsheets/d/1xsp01RMmkav9iTy39Zaj_7tE9677EGlOJ14KU9TZn7I/"",""2004-2017!H2577"")"),21.9992794189999)</f>
        <v>21.999279418999901</v>
      </c>
      <c r="E378" s="96">
        <f ca="1">IFERROR(__xludf.DUMMYFUNCTION("$C372*IMPORTRANGE(""https://docs.google.com/spreadsheets/d/1xsp01RMmkav9iTy39Zaj_7tE9677EGlOJ14KU9TZn7I/"",""2004-2017!T2577"")"),18.6631982029999)</f>
        <v>18.663198202999901</v>
      </c>
      <c r="F378" s="96">
        <f ca="1">IFERROR(__xludf.DUMMYFUNCTION("$C372*IMPORTRANGE(""https://docs.google.com/spreadsheets/d/1xsp01RMmkav9iTy39Zaj_7tE9677EGlOJ14KU9TZn7I/"",""2004-2017!AC2577"")"),2879.90523695289)</f>
        <v>2879.9052369528899</v>
      </c>
      <c r="G378" s="126" t="s">
        <v>8</v>
      </c>
      <c r="H378" s="80"/>
      <c r="I378" s="80"/>
      <c r="J378" s="80"/>
      <c r="K378" s="77"/>
      <c r="L378" s="78"/>
      <c r="M378" s="79"/>
      <c r="N378" s="79"/>
      <c r="O378" s="79"/>
      <c r="P378" s="79"/>
      <c r="Q378" s="77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</row>
    <row r="379" spans="1:29" ht="13.2" x14ac:dyDescent="0.25">
      <c r="A379" s="136" t="s">
        <v>369</v>
      </c>
      <c r="B379" s="107">
        <v>328</v>
      </c>
      <c r="C379" s="98">
        <f>24251.1/1000</f>
        <v>24.251099999999997</v>
      </c>
      <c r="D379" s="99">
        <f ca="1">IFERROR(__xludf.DUMMYFUNCTION("$C373*IMPORTRANGE(""https://docs.google.com/spreadsheets/d/1xsp01RMmkav9iTy39Zaj_7tE9677EGlOJ14KU9TZn7I/"",""2004-2017!H2598"")"),18.3386818199999)</f>
        <v>18.338681819999898</v>
      </c>
      <c r="E379" s="99">
        <f ca="1">IFERROR(__xludf.DUMMYFUNCTION("$C373*IMPORTRANGE(""https://docs.google.com/spreadsheets/d/1xsp01RMmkav9iTy39Zaj_7tE9677EGlOJ14KU9TZn7I/"",""2004-2017!T2598"")"),15.646082187)</f>
        <v>15.646082186999999</v>
      </c>
      <c r="F379" s="99">
        <f ca="1">IFERROR(__xludf.DUMMYFUNCTION("$C373*IMPORTRANGE(""https://docs.google.com/spreadsheets/d/1xsp01RMmkav9iTy39Zaj_7tE9677EGlOJ14KU9TZn7I/"",""2004-2017!AC2598"")"),2368.13197992224)</f>
        <v>2368.1319799222401</v>
      </c>
      <c r="G379" s="128" t="s">
        <v>8</v>
      </c>
      <c r="H379" s="80"/>
      <c r="I379" s="80"/>
      <c r="J379" s="80"/>
      <c r="K379" s="77"/>
      <c r="L379" s="78"/>
      <c r="M379" s="79"/>
      <c r="N379" s="79"/>
      <c r="O379" s="79"/>
      <c r="P379" s="79"/>
      <c r="Q379" s="77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</row>
    <row r="380" spans="1:29" ht="13.2" x14ac:dyDescent="0.25">
      <c r="A380" s="137" t="s">
        <v>370</v>
      </c>
      <c r="B380" s="106">
        <v>323</v>
      </c>
      <c r="C380" s="88">
        <f>26240.7/1000</f>
        <v>26.2407</v>
      </c>
      <c r="D380" s="96">
        <f ca="1">IFERROR(__xludf.DUMMYFUNCTION("$C374*IMPORTRANGE(""https://docs.google.com/spreadsheets/d/1xsp01RMmkav9iTy39Zaj_7tE9677EGlOJ14KU9TZn7I/"",""2004-2017!H2622"")"),20.014831518)</f>
        <v>20.014831518000001</v>
      </c>
      <c r="E380" s="96">
        <f ca="1">IFERROR(__xludf.DUMMYFUNCTION("$C374*IMPORTRANGE(""https://docs.google.com/spreadsheets/d/1xsp01RMmkav9iTy39Zaj_7tE9677EGlOJ14KU9TZn7I/"",""2004-2017!T2622"")"),17.252473029)</f>
        <v>17.252473029000001</v>
      </c>
      <c r="F380" s="96">
        <f ca="1">IFERROR(__xludf.DUMMYFUNCTION("$C374*IMPORTRANGE(""https://docs.google.com/spreadsheets/d/1xsp01RMmkav9iTy39Zaj_7tE9677EGlOJ14KU9TZn7I/"",""2004-2017!AC2622"")"),2615.0693874186)</f>
        <v>2615.0693874185999</v>
      </c>
      <c r="G380" s="126" t="s">
        <v>8</v>
      </c>
      <c r="H380" s="80"/>
      <c r="I380" s="80"/>
      <c r="J380" s="80"/>
      <c r="K380" s="77"/>
      <c r="L380" s="78"/>
      <c r="M380" s="79"/>
      <c r="N380" s="79"/>
      <c r="O380" s="79"/>
      <c r="P380" s="79"/>
      <c r="Q380" s="77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</row>
    <row r="381" spans="1:29" ht="13.2" x14ac:dyDescent="0.25">
      <c r="A381" s="136" t="s">
        <v>371</v>
      </c>
      <c r="B381" s="107">
        <v>297</v>
      </c>
      <c r="C381" s="98">
        <f>13646.1/1000</f>
        <v>13.646100000000001</v>
      </c>
      <c r="D381" s="99">
        <f ca="1">IFERROR(__xludf.DUMMYFUNCTION("$C375*IMPORTRANGE(""https://docs.google.com/spreadsheets/d/1xsp01RMmkav9iTy39Zaj_7tE9677EGlOJ14KU9TZn7I/"",""2004-2017!H2645"")"),10.233756234)</f>
        <v>10.233756233999999</v>
      </c>
      <c r="E381" s="99">
        <f ca="1">IFERROR(__xludf.DUMMYFUNCTION("$C375*IMPORTRANGE(""https://docs.google.com/spreadsheets/d/1xsp01RMmkav9iTy39Zaj_7tE9677EGlOJ14KU9TZn7I/"",""2004-2017!T2645"")"),8.7915681555)</f>
        <v>8.7915681555000003</v>
      </c>
      <c r="F381" s="99">
        <f ca="1">IFERROR(__xludf.DUMMYFUNCTION("$C375*IMPORTRANGE(""https://docs.google.com/spreadsheets/d/1xsp01RMmkav9iTy39Zaj_7tE9677EGlOJ14KU9TZn7I/"",""2004-2017!AC2645"")"),1334.16551678475)</f>
        <v>1334.16551678475</v>
      </c>
      <c r="G381" s="128" t="s">
        <v>8</v>
      </c>
      <c r="H381" s="80"/>
      <c r="I381" s="80"/>
      <c r="J381" s="80"/>
      <c r="K381" s="77"/>
      <c r="L381" s="78"/>
      <c r="M381" s="79"/>
      <c r="N381" s="79"/>
      <c r="O381" s="79"/>
      <c r="P381" s="79"/>
      <c r="Q381" s="77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</row>
    <row r="382" spans="1:29" ht="13.2" x14ac:dyDescent="0.25">
      <c r="A382" s="137" t="s">
        <v>372</v>
      </c>
      <c r="B382" s="106">
        <v>346</v>
      </c>
      <c r="C382" s="88">
        <f>38199.5/1000</f>
        <v>38.1995</v>
      </c>
      <c r="D382" s="96">
        <f ca="1">IFERROR(__xludf.DUMMYFUNCTION("$C376*IMPORTRANGE(""https://docs.google.com/spreadsheets/d/1xsp01RMmkav9iTy39Zaj_7tE9677EGlOJ14KU9TZn7I/"",""2004-2017!H2667"")"),28.6396931299999)</f>
        <v>28.639693129999898</v>
      </c>
      <c r="E382" s="96">
        <f ca="1">IFERROR(__xludf.DUMMYFUNCTION("$C376*IMPORTRANGE(""https://docs.google.com/spreadsheets/d/1xsp01RMmkav9iTy39Zaj_7tE9677EGlOJ14KU9TZn7I/"",""2004-2017!T2667"")"),24.0202275949999)</f>
        <v>24.020227594999898</v>
      </c>
      <c r="F382" s="96">
        <f ca="1">IFERROR(__xludf.DUMMYFUNCTION("$C376*IMPORTRANGE(""https://docs.google.com/spreadsheets/d/1xsp01RMmkav9iTy39Zaj_7tE9677EGlOJ14KU9TZn7I/"",""2004-2017!AC2667"")"),3792.3317615)</f>
        <v>3792.3317615000001</v>
      </c>
      <c r="G382" s="126" t="s">
        <v>8</v>
      </c>
      <c r="H382" s="80"/>
      <c r="I382" s="80"/>
      <c r="J382" s="80"/>
      <c r="K382" s="77"/>
      <c r="L382" s="78"/>
      <c r="M382" s="79"/>
      <c r="N382" s="79"/>
      <c r="O382" s="79"/>
      <c r="P382" s="79"/>
      <c r="Q382" s="77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</row>
    <row r="383" spans="1:29" ht="13.2" x14ac:dyDescent="0.25">
      <c r="A383" s="136" t="s">
        <v>373</v>
      </c>
      <c r="B383" s="107">
        <v>295</v>
      </c>
      <c r="C383" s="98">
        <f>23012.8/1000</f>
        <v>23.012799999999999</v>
      </c>
      <c r="D383" s="99">
        <f ca="1">IFERROR(__xludf.DUMMYFUNCTION("$C377*IMPORTRANGE(""https://docs.google.com/spreadsheets/d/1xsp01RMmkav9iTy39Zaj_7tE9677EGlOJ14KU9TZn7I/"",""2004-2017!H2691"")"),16.907389096)</f>
        <v>16.907389095999999</v>
      </c>
      <c r="E383" s="99">
        <f ca="1">IFERROR(__xludf.DUMMYFUNCTION("$C377*IMPORTRANGE(""https://docs.google.com/spreadsheets/d/1xsp01RMmkav9iTy39Zaj_7tE9677EGlOJ14KU9TZn7I/"",""2004-2017!T2691"")"),14.2595363279999)</f>
        <v>14.2595363279999</v>
      </c>
      <c r="F383" s="99">
        <f ca="1">IFERROR(__xludf.DUMMYFUNCTION("$C377*IMPORTRANGE(""https://docs.google.com/spreadsheets/d/1xsp01RMmkav9iTy39Zaj_7tE9677EGlOJ14KU9TZn7I/"",""2004-2017!AC2691"")"),2254.29936879999)</f>
        <v>2254.2993687999901</v>
      </c>
      <c r="G383" s="128" t="s">
        <v>8</v>
      </c>
      <c r="H383" s="80"/>
      <c r="I383" s="80"/>
      <c r="J383" s="80"/>
      <c r="K383" s="77"/>
      <c r="L383" s="78"/>
      <c r="M383" s="79"/>
      <c r="N383" s="79"/>
      <c r="O383" s="79"/>
      <c r="P383" s="79"/>
      <c r="Q383" s="77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</row>
    <row r="384" spans="1:29" ht="13.2" x14ac:dyDescent="0.25">
      <c r="A384" s="137" t="s">
        <v>374</v>
      </c>
      <c r="B384" s="106">
        <v>317</v>
      </c>
      <c r="C384" s="88">
        <f>17964.6/1000</f>
        <v>17.964599999999997</v>
      </c>
      <c r="D384" s="96">
        <f ca="1">IFERROR(__xludf.DUMMYFUNCTION("$C378*IMPORTRANGE(""https://docs.google.com/spreadsheets/d/1xsp01RMmkav9iTy39Zaj_7tE9677EGlOJ14KU9TZn7I/"",""2004-2017!H2713"")"),13.3130261219999)</f>
        <v>13.313026121999901</v>
      </c>
      <c r="E384" s="96">
        <f ca="1">IFERROR(__xludf.DUMMYFUNCTION("$C378*IMPORTRANGE(""https://docs.google.com/spreadsheets/d/1xsp01RMmkav9iTy39Zaj_7tE9677EGlOJ14KU9TZn7I/"",""2004-2017!T2713"")"),11.16589713)</f>
        <v>11.165897129999999</v>
      </c>
      <c r="F384" s="96">
        <f ca="1">IFERROR(__xludf.DUMMYFUNCTION("$C378*IMPORTRANGE(""https://docs.google.com/spreadsheets/d/1xsp01RMmkav9iTy39Zaj_7tE9677EGlOJ14KU9TZn7I/"",""2004-2017!AC2713"")"),1793.99883183539)</f>
        <v>1793.9988318353901</v>
      </c>
      <c r="G384" s="126" t="s">
        <v>8</v>
      </c>
      <c r="H384" s="80"/>
      <c r="I384" s="80"/>
      <c r="J384" s="80"/>
      <c r="K384" s="77"/>
      <c r="L384" s="78"/>
      <c r="M384" s="79"/>
      <c r="N384" s="79"/>
      <c r="O384" s="79"/>
      <c r="P384" s="79"/>
      <c r="Q384" s="77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</row>
    <row r="385" spans="1:29" ht="13.2" x14ac:dyDescent="0.25">
      <c r="A385" s="138" t="s">
        <v>375</v>
      </c>
      <c r="B385" s="108">
        <v>447</v>
      </c>
      <c r="C385" s="101">
        <f>34213.4/1000</f>
        <v>34.2134</v>
      </c>
      <c r="D385" s="102">
        <f ca="1">IFERROR(__xludf.DUMMYFUNCTION("$C379*IMPORTRANGE(""https://docs.google.com/spreadsheets/d/1xsp01RMmkav9iTy39Zaj_7tE9677EGlOJ14KU9TZn7I/"",""2004-2017!H2736"")"),24.976808402)</f>
        <v>24.976808402</v>
      </c>
      <c r="E385" s="102">
        <f ca="1">IFERROR(__xludf.DUMMYFUNCTION("$C379*IMPORTRANGE(""https://docs.google.com/spreadsheets/d/1xsp01RMmkav9iTy39Zaj_7tE9677EGlOJ14KU9TZn7I/"",""2004-2017!T2736"")"),20.902847797)</f>
        <v>20.902847797</v>
      </c>
      <c r="F385" s="102">
        <f ca="1">IFERROR(__xludf.DUMMYFUNCTION("$C379*IMPORTRANGE(""https://docs.google.com/spreadsheets/d/1xsp01RMmkav9iTy39Zaj_7tE9677EGlOJ14KU9TZn7I/"",""2004-2017!AC2736"")"),3533.1493227732)</f>
        <v>3533.1493227731999</v>
      </c>
      <c r="G385" s="129" t="s">
        <v>8</v>
      </c>
      <c r="H385" s="80"/>
      <c r="I385" s="80"/>
      <c r="J385" s="80"/>
      <c r="K385" s="77"/>
      <c r="L385" s="78"/>
      <c r="M385" s="79"/>
      <c r="N385" s="79"/>
      <c r="O385" s="79"/>
      <c r="P385" s="79"/>
      <c r="Q385" s="77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</row>
    <row r="386" spans="1:29" ht="13.2" x14ac:dyDescent="0.25">
      <c r="A386" s="120">
        <v>2014</v>
      </c>
      <c r="B386" s="121"/>
      <c r="C386" s="139"/>
      <c r="D386" s="139"/>
      <c r="E386" s="139"/>
      <c r="F386" s="139"/>
      <c r="G386" s="123"/>
      <c r="H386" s="80"/>
      <c r="I386" s="80"/>
      <c r="J386" s="80"/>
      <c r="K386" s="77"/>
      <c r="L386" s="78"/>
      <c r="M386" s="79"/>
      <c r="N386" s="79"/>
      <c r="O386" s="79"/>
      <c r="P386" s="79"/>
      <c r="Q386" s="77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</row>
    <row r="387" spans="1:29" ht="13.2" x14ac:dyDescent="0.25">
      <c r="A387" s="135" t="s">
        <v>376</v>
      </c>
      <c r="B387" s="105">
        <v>288</v>
      </c>
      <c r="C387" s="85">
        <f>11702/1000</f>
        <v>11.702</v>
      </c>
      <c r="D387" s="95">
        <f ca="1">IFERROR(__xludf.DUMMYFUNCTION("$C381*IMPORTRANGE(""https://docs.google.com/spreadsheets/d/1xsp01RMmkav9iTy39Zaj_7tE9677EGlOJ14KU9TZn7I/"",""2004-2017!H2738"")"),8.58423614)</f>
        <v>8.5842361399999998</v>
      </c>
      <c r="E387" s="95">
        <f ca="1">IFERROR(__xludf.DUMMYFUNCTION("$C381*IMPORTRANGE(""https://docs.google.com/spreadsheets/d/1xsp01RMmkav9iTy39Zaj_7tE9677EGlOJ14KU9TZn7I/"",""2004-2017!T2738"")"),7.10276294)</f>
        <v>7.1027629399999999</v>
      </c>
      <c r="F387" s="95">
        <f ca="1">IFERROR(__xludf.DUMMYFUNCTION("$C381*IMPORTRANGE(""https://docs.google.com/spreadsheets/d/1xsp01RMmkav9iTy39Zaj_7tE9677EGlOJ14KU9TZn7I/"",""2004-2017!AC2738"")"),1219.640926596)</f>
        <v>1219.6409265960001</v>
      </c>
      <c r="G387" s="124" t="s">
        <v>8</v>
      </c>
      <c r="H387" s="80"/>
      <c r="I387" s="80"/>
      <c r="J387" s="80"/>
      <c r="K387" s="77"/>
      <c r="L387" s="78"/>
      <c r="M387" s="79"/>
      <c r="N387" s="79"/>
      <c r="O387" s="79"/>
      <c r="P387" s="79"/>
      <c r="Q387" s="77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</row>
    <row r="388" spans="1:29" ht="13.2" x14ac:dyDescent="0.25">
      <c r="A388" s="136" t="s">
        <v>377</v>
      </c>
      <c r="B388" s="107">
        <v>284</v>
      </c>
      <c r="C388" s="98">
        <f>31992.9/1000</f>
        <v>31.992900000000002</v>
      </c>
      <c r="D388" s="99">
        <f ca="1">IFERROR(__xludf.DUMMYFUNCTION("$C382*IMPORTRANGE(""https://docs.google.com/spreadsheets/d/1xsp01RMmkav9iTy39Zaj_7tE9677EGlOJ14KU9TZn7I/"",""2004-2017!H2782"")"),23.3860100775)</f>
        <v>23.3860100775</v>
      </c>
      <c r="E388" s="99">
        <f ca="1">IFERROR(__xludf.DUMMYFUNCTION("$C382*IMPORTRANGE(""https://docs.google.com/spreadsheets/d/1xsp01RMmkav9iTy39Zaj_7tE9677EGlOJ14KU9TZn7I/"",""2004-2017!T2782"")"),19.2205344975)</f>
        <v>19.220534497500001</v>
      </c>
      <c r="F388" s="99">
        <f ca="1">IFERROR(__xludf.DUMMYFUNCTION("$C382*IMPORTRANGE(""https://docs.google.com/spreadsheets/d/1xsp01RMmkav9iTy39Zaj_7tE9677EGlOJ14KU9TZn7I/"",""2004-2017!AC2782"")"),3269.35453098225)</f>
        <v>3269.3545309822498</v>
      </c>
      <c r="G388" s="128" t="s">
        <v>8</v>
      </c>
      <c r="H388" s="80"/>
      <c r="I388" s="80"/>
      <c r="J388" s="80"/>
      <c r="K388" s="77"/>
      <c r="L388" s="78"/>
      <c r="M388" s="79"/>
      <c r="N388" s="79"/>
      <c r="O388" s="79"/>
      <c r="P388" s="79"/>
      <c r="Q388" s="77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</row>
    <row r="389" spans="1:29" ht="13.2" x14ac:dyDescent="0.25">
      <c r="A389" s="137" t="s">
        <v>378</v>
      </c>
      <c r="B389" s="106">
        <v>343</v>
      </c>
      <c r="C389" s="88">
        <f>65128.2/1000</f>
        <v>65.128199999999993</v>
      </c>
      <c r="D389" s="96">
        <f ca="1">IFERROR(__xludf.DUMMYFUNCTION("$C383*IMPORTRANGE(""https://docs.google.com/spreadsheets/d/1xsp01RMmkav9iTy39Zaj_7tE9677EGlOJ14KU9TZn7I/"",""2004-2017!H2804"")"),47.1287193659999)</f>
        <v>47.128719365999899</v>
      </c>
      <c r="E389" s="96">
        <f ca="1">IFERROR(__xludf.DUMMYFUNCTION("$C383*IMPORTRANGE(""https://docs.google.com/spreadsheets/d/1xsp01RMmkav9iTy39Zaj_7tE9677EGlOJ14KU9TZn7I/"",""2004-2017!T2804"")"),39.1746123)</f>
        <v>39.1746123</v>
      </c>
      <c r="F389" s="96">
        <f ca="1">IFERROR(__xludf.DUMMYFUNCTION("$C383*IMPORTRANGE(""https://docs.google.com/spreadsheets/d/1xsp01RMmkav9iTy39Zaj_7tE9677EGlOJ14KU9TZn7I/"",""2004-2017!AC2804"")"),6658.77210081539)</f>
        <v>6658.7721008153903</v>
      </c>
      <c r="G389" s="126" t="s">
        <v>8</v>
      </c>
      <c r="H389" s="80"/>
      <c r="I389" s="80"/>
      <c r="J389" s="80"/>
      <c r="K389" s="77"/>
      <c r="L389" s="78"/>
      <c r="M389" s="79"/>
      <c r="N389" s="79"/>
      <c r="O389" s="79"/>
      <c r="P389" s="79"/>
      <c r="Q389" s="77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</row>
    <row r="390" spans="1:29" ht="13.2" x14ac:dyDescent="0.25">
      <c r="A390" s="136" t="s">
        <v>379</v>
      </c>
      <c r="B390" s="107">
        <v>354</v>
      </c>
      <c r="C390" s="98">
        <f>30581.8/1000</f>
        <v>30.581799999999998</v>
      </c>
      <c r="D390" s="99">
        <f ca="1">IFERROR(__xludf.DUMMYFUNCTION("$C384*IMPORTRANGE(""https://docs.google.com/spreadsheets/d/1xsp01RMmkav9iTy39Zaj_7tE9677EGlOJ14KU9TZn7I/"",""2004-2017!H2827"")"),22.1399999279999)</f>
        <v>22.139999927999899</v>
      </c>
      <c r="E390" s="99">
        <f ca="1">IFERROR(__xludf.DUMMYFUNCTION("$C384*IMPORTRANGE(""https://docs.google.com/spreadsheets/d/1xsp01RMmkav9iTy39Zaj_7tE9677EGlOJ14KU9TZn7I/"",""2004-2017!T2827"")"),18.223847529)</f>
        <v>18.223847529</v>
      </c>
      <c r="F390" s="99">
        <f ca="1">IFERROR(__xludf.DUMMYFUNCTION("$C384*IMPORTRANGE(""https://docs.google.com/spreadsheets/d/1xsp01RMmkav9iTy39Zaj_7tE9677EGlOJ14KU9TZn7I/"",""2004-2017!AC2827"")"),3134.57336698179)</f>
        <v>3134.5733669817901</v>
      </c>
      <c r="G390" s="128" t="s">
        <v>8</v>
      </c>
      <c r="H390" s="80"/>
      <c r="I390" s="80"/>
      <c r="J390" s="80"/>
      <c r="K390" s="77"/>
      <c r="L390" s="78"/>
      <c r="M390" s="79"/>
      <c r="N390" s="79"/>
      <c r="O390" s="79"/>
      <c r="P390" s="79"/>
      <c r="Q390" s="77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</row>
    <row r="391" spans="1:29" ht="13.2" x14ac:dyDescent="0.25">
      <c r="A391" s="137" t="s">
        <v>380</v>
      </c>
      <c r="B391" s="106">
        <v>327</v>
      </c>
      <c r="C391" s="88">
        <f>94302.1/1000</f>
        <v>94.30210000000001</v>
      </c>
      <c r="D391" s="96">
        <f ca="1">IFERROR(__xludf.DUMMYFUNCTION("$C385*IMPORTRANGE(""https://docs.google.com/spreadsheets/d/1xsp01RMmkav9iTy39Zaj_7tE9677EGlOJ14KU9TZn7I/"",""2004-2017!H2850"")"),68.757547152)</f>
        <v>68.757547152000001</v>
      </c>
      <c r="E391" s="96">
        <f ca="1">IFERROR(__xludf.DUMMYFUNCTION("$C385*IMPORTRANGE(""https://docs.google.com/spreadsheets/d/1xsp01RMmkav9iTy39Zaj_7tE9677EGlOJ14KU9TZn7I/"",""2004-2017!T2850"")"),55.95886614)</f>
        <v>55.958866139999998</v>
      </c>
      <c r="F391" s="96">
        <f ca="1">IFERROR(__xludf.DUMMYFUNCTION("$C385*IMPORTRANGE(""https://docs.google.com/spreadsheets/d/1xsp01RMmkav9iTy39Zaj_7tE9677EGlOJ14KU9TZn7I/"",""2004-2017!AC2850"")"),9604.0561099542)</f>
        <v>9604.0561099541992</v>
      </c>
      <c r="G391" s="126" t="s">
        <v>8</v>
      </c>
      <c r="H391" s="80"/>
      <c r="I391" s="80"/>
      <c r="J391" s="80"/>
      <c r="K391" s="77"/>
      <c r="L391" s="78"/>
      <c r="M391" s="79"/>
      <c r="N391" s="79"/>
      <c r="O391" s="79"/>
      <c r="P391" s="79"/>
      <c r="Q391" s="77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</row>
    <row r="392" spans="1:29" ht="13.2" x14ac:dyDescent="0.25">
      <c r="A392" s="136" t="s">
        <v>381</v>
      </c>
      <c r="B392" s="107">
        <v>306</v>
      </c>
      <c r="C392" s="98">
        <f>48261.8/1000</f>
        <v>48.261800000000001</v>
      </c>
      <c r="D392" s="99">
        <f ca="1">IFERROR(__xludf.DUMMYFUNCTION("$C386*IMPORTRANGE(""https://docs.google.com/spreadsheets/d/1xsp01RMmkav9iTy39Zaj_7tE9677EGlOJ14KU9TZn7I/"",""2004-2017!H2872"")"),35.481592742)</f>
        <v>35.481592741999997</v>
      </c>
      <c r="E392" s="99">
        <f ca="1">IFERROR(__xludf.DUMMYFUNCTION("$C386*IMPORTRANGE(""https://docs.google.com/spreadsheets/d/1xsp01RMmkav9iTy39Zaj_7tE9677EGlOJ14KU9TZn7I/"",""2004-2017!T2872"")"),28.456605134)</f>
        <v>28.456605134</v>
      </c>
      <c r="F392" s="99">
        <f ca="1">IFERROR(__xludf.DUMMYFUNCTION("$C386*IMPORTRANGE(""https://docs.google.com/spreadsheets/d/1xsp01RMmkav9iTy39Zaj_7tE9677EGlOJ14KU9TZn7I/"",""2004-2017!AC2872"")"),4921.1111053854)</f>
        <v>4921.1111053854002</v>
      </c>
      <c r="G392" s="128" t="s">
        <v>8</v>
      </c>
      <c r="H392" s="80"/>
      <c r="I392" s="80"/>
      <c r="J392" s="80"/>
      <c r="K392" s="77"/>
      <c r="L392" s="78"/>
      <c r="M392" s="79"/>
      <c r="N392" s="79"/>
      <c r="O392" s="79"/>
      <c r="P392" s="79"/>
      <c r="Q392" s="77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</row>
    <row r="393" spans="1:29" ht="13.2" x14ac:dyDescent="0.25">
      <c r="A393" s="137" t="s">
        <v>382</v>
      </c>
      <c r="B393" s="106">
        <v>313</v>
      </c>
      <c r="C393" s="88">
        <f>29155.7/1000</f>
        <v>29.1557</v>
      </c>
      <c r="D393" s="96">
        <f ca="1">IFERROR(__xludf.DUMMYFUNCTION("$C387*IMPORTRANGE(""https://docs.google.com/spreadsheets/d/1xsp01RMmkav9iTy39Zaj_7tE9677EGlOJ14KU9TZn7I/"",""2004-2017!H2896"")"),21.4822113169999)</f>
        <v>21.482211316999901</v>
      </c>
      <c r="E393" s="96">
        <f ca="1">IFERROR(__xludf.DUMMYFUNCTION("$C387*IMPORTRANGE(""https://docs.google.com/spreadsheets/d/1xsp01RMmkav9iTy39Zaj_7tE9677EGlOJ14KU9TZn7I/"",""2004-2017!T2896"")"),17.040340422)</f>
        <v>17.040340422</v>
      </c>
      <c r="F393" s="96">
        <f ca="1">IFERROR(__xludf.DUMMYFUNCTION("$C387*IMPORTRANGE(""https://docs.google.com/spreadsheets/d/1xsp01RMmkav9iTy39Zaj_7tE9677EGlOJ14KU9TZn7I/"",""2004-2017!AC2896"")"),2960.4698071557)</f>
        <v>2960.4698071557</v>
      </c>
      <c r="G393" s="126" t="s">
        <v>8</v>
      </c>
      <c r="H393" s="80"/>
      <c r="I393" s="80"/>
      <c r="J393" s="80"/>
      <c r="K393" s="77"/>
      <c r="L393" s="78"/>
      <c r="M393" s="79"/>
      <c r="N393" s="79"/>
      <c r="O393" s="79"/>
      <c r="P393" s="79"/>
      <c r="Q393" s="77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</row>
    <row r="394" spans="1:29" ht="13.2" x14ac:dyDescent="0.25">
      <c r="A394" s="136" t="s">
        <v>383</v>
      </c>
      <c r="B394" s="107">
        <v>300</v>
      </c>
      <c r="C394" s="98">
        <f>12755.7/1000</f>
        <v>12.755700000000001</v>
      </c>
      <c r="D394" s="99">
        <f ca="1">IFERROR(__xludf.DUMMYFUNCTION("$C388*IMPORTRANGE(""https://docs.google.com/spreadsheets/d/1xsp01RMmkav9iTy39Zaj_7tE9677EGlOJ14KU9TZn7I/"",""2004-2017!H2918"")"),9.544835196)</f>
        <v>9.5448351959999993</v>
      </c>
      <c r="E394" s="99">
        <f ca="1">IFERROR(__xludf.DUMMYFUNCTION("$C388*IMPORTRANGE(""https://docs.google.com/spreadsheets/d/1xsp01RMmkav9iTy39Zaj_7tE9677EGlOJ14KU9TZn7I/"",""2004-2017!T2918"")"),7.628929056)</f>
        <v>7.6289290559999996</v>
      </c>
      <c r="F394" s="99">
        <f ca="1">IFERROR(__xludf.DUMMYFUNCTION("$C388*IMPORTRANGE(""https://docs.google.com/spreadsheets/d/1xsp01RMmkav9iTy39Zaj_7tE9677EGlOJ14KU9TZn7I/"",""2004-2017!AC2918"")"),1308.5944690329)</f>
        <v>1308.5944690329</v>
      </c>
      <c r="G394" s="128" t="s">
        <v>8</v>
      </c>
      <c r="H394" s="80"/>
      <c r="I394" s="80"/>
      <c r="J394" s="80"/>
      <c r="K394" s="77"/>
      <c r="L394" s="78"/>
      <c r="M394" s="79"/>
      <c r="N394" s="79"/>
      <c r="O394" s="79"/>
      <c r="P394" s="79"/>
      <c r="Q394" s="77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</row>
    <row r="395" spans="1:29" ht="13.2" x14ac:dyDescent="0.25">
      <c r="A395" s="137" t="s">
        <v>384</v>
      </c>
      <c r="B395" s="106">
        <v>295</v>
      </c>
      <c r="C395" s="88">
        <f>38700.3/1000</f>
        <v>38.700300000000006</v>
      </c>
      <c r="D395" s="96">
        <f ca="1">IFERROR(__xludf.DUMMYFUNCTION("$C389*IMPORTRANGE(""https://docs.google.com/spreadsheets/d/1xsp01RMmkav9iTy39Zaj_7tE9677EGlOJ14KU9TZn7I/"",""2004-2017!H2941"")"),29.9495816655)</f>
        <v>29.949581665499998</v>
      </c>
      <c r="E395" s="96">
        <f ca="1">IFERROR(__xludf.DUMMYFUNCTION("$C389*IMPORTRANGE(""https://docs.google.com/spreadsheets/d/1xsp01RMmkav9iTy39Zaj_7tE9677EGlOJ14KU9TZn7I/"",""2004-2017!T2941"")"),23.770111263)</f>
        <v>23.770111263</v>
      </c>
      <c r="F395" s="96">
        <f ca="1">IFERROR(__xludf.DUMMYFUNCTION("$C389*IMPORTRANGE(""https://docs.google.com/spreadsheets/d/1xsp01RMmkav9iTy39Zaj_7tE9677EGlOJ14KU9TZn7I/"",""2004-2017!AC2941"")"),4146.5049819003)</f>
        <v>4146.5049819002998</v>
      </c>
      <c r="G395" s="126" t="s">
        <v>8</v>
      </c>
      <c r="H395" s="80"/>
      <c r="I395" s="80"/>
      <c r="J395" s="80"/>
      <c r="K395" s="77"/>
      <c r="L395" s="78"/>
      <c r="M395" s="79"/>
      <c r="N395" s="79"/>
      <c r="O395" s="79"/>
      <c r="P395" s="79"/>
      <c r="Q395" s="77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</row>
    <row r="396" spans="1:29" ht="13.2" x14ac:dyDescent="0.25">
      <c r="A396" s="136" t="s">
        <v>385</v>
      </c>
      <c r="B396" s="107">
        <v>316</v>
      </c>
      <c r="C396" s="98">
        <f>56396.1/1000</f>
        <v>56.396099999999997</v>
      </c>
      <c r="D396" s="99">
        <f ca="1">IFERROR(__xludf.DUMMYFUNCTION("$C390*IMPORTRANGE(""https://docs.google.com/spreadsheets/d/1xsp01RMmkav9iTy39Zaj_7tE9677EGlOJ14KU9TZn7I/"",""2004-2017!H2965"")"),44.509494003)</f>
        <v>44.509494003</v>
      </c>
      <c r="E396" s="99">
        <f ca="1">IFERROR(__xludf.DUMMYFUNCTION("$C390*IMPORTRANGE(""https://docs.google.com/spreadsheets/d/1xsp01RMmkav9iTy39Zaj_7tE9677EGlOJ14KU9TZn7I/"",""2004-2017!T2965"")"),35.043972579)</f>
        <v>35.043972578999998</v>
      </c>
      <c r="F396" s="99">
        <f ca="1">IFERROR(__xludf.DUMMYFUNCTION("$C390*IMPORTRANGE(""https://docs.google.com/spreadsheets/d/1xsp01RMmkav9iTy39Zaj_7tE9677EGlOJ14KU9TZn7I/"",""2004-2017!AC2965"")"),6094.8392628039)</f>
        <v>6094.8392628039001</v>
      </c>
      <c r="G396" s="128" t="s">
        <v>8</v>
      </c>
      <c r="H396" s="80"/>
      <c r="I396" s="80"/>
      <c r="J396" s="80"/>
      <c r="K396" s="77"/>
      <c r="L396" s="78"/>
      <c r="M396" s="79"/>
      <c r="N396" s="79"/>
      <c r="O396" s="79"/>
      <c r="P396" s="79"/>
      <c r="Q396" s="77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</row>
    <row r="397" spans="1:29" ht="13.2" x14ac:dyDescent="0.25">
      <c r="A397" s="137" t="s">
        <v>386</v>
      </c>
      <c r="B397" s="106">
        <v>305</v>
      </c>
      <c r="C397" s="88">
        <f>37603/1000</f>
        <v>37.603000000000002</v>
      </c>
      <c r="D397" s="96">
        <f ca="1">IFERROR(__xludf.DUMMYFUNCTION("$C391*IMPORTRANGE(""https://docs.google.com/spreadsheets/d/1xsp01RMmkav9iTy39Zaj_7tE9677EGlOJ14KU9TZn7I/"",""2004-2017!H2986"")"),30.13542023)</f>
        <v>30.135420230000001</v>
      </c>
      <c r="E397" s="96">
        <f ca="1">IFERROR(__xludf.DUMMYFUNCTION("$C391*IMPORTRANGE(""https://docs.google.com/spreadsheets/d/1xsp01RMmkav9iTy39Zaj_7tE9677EGlOJ14KU9TZn7I/"",""2004-2017!T2986"")"),23.8797851499999)</f>
        <v>23.879785149999901</v>
      </c>
      <c r="F397" s="96">
        <f ca="1">IFERROR(__xludf.DUMMYFUNCTION("$C391*IMPORTRANGE(""https://docs.google.com/spreadsheets/d/1xsp01RMmkav9iTy39Zaj_7tE9677EGlOJ14KU9TZn7I/"",""2004-2017!AC2986"")"),4370.7847238015)</f>
        <v>4370.7847238015001</v>
      </c>
      <c r="G397" s="126" t="s">
        <v>8</v>
      </c>
      <c r="H397" s="80"/>
      <c r="I397" s="80"/>
      <c r="J397" s="80"/>
      <c r="K397" s="77"/>
      <c r="L397" s="78"/>
      <c r="M397" s="79"/>
      <c r="N397" s="79"/>
      <c r="O397" s="79"/>
      <c r="P397" s="79"/>
      <c r="Q397" s="77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</row>
    <row r="398" spans="1:29" ht="13.2" x14ac:dyDescent="0.25">
      <c r="A398" s="138" t="s">
        <v>387</v>
      </c>
      <c r="B398" s="108">
        <v>405</v>
      </c>
      <c r="C398" s="101">
        <f>48517.8/1000</f>
        <v>48.517800000000001</v>
      </c>
      <c r="D398" s="102">
        <f ca="1">IFERROR(__xludf.DUMMYFUNCTION("$C392*IMPORTRANGE(""https://docs.google.com/spreadsheets/d/1xsp01RMmkav9iTy39Zaj_7tE9677EGlOJ14KU9TZn7I/"",""2004-2017!H3010"")"),39.392086998)</f>
        <v>39.392086998000003</v>
      </c>
      <c r="E398" s="102">
        <f ca="1">IFERROR(__xludf.DUMMYFUNCTION("$C392*IMPORTRANGE(""https://docs.google.com/spreadsheets/d/1xsp01RMmkav9iTy39Zaj_7tE9677EGlOJ14KU9TZn7I/"",""2004-2017!T3010"")"),31.011122226)</f>
        <v>31.011122226000001</v>
      </c>
      <c r="F398" s="102">
        <f ca="1">IFERROR(__xludf.DUMMYFUNCTION("$C392*IMPORTRANGE(""https://docs.google.com/spreadsheets/d/1xsp01RMmkav9iTy39Zaj_7tE9677EGlOJ14KU9TZn7I/"",""2004-2017!AC3010"")"),5795.8393524)</f>
        <v>5795.8393524000003</v>
      </c>
      <c r="G398" s="129" t="s">
        <v>8</v>
      </c>
      <c r="H398" s="80"/>
      <c r="I398" s="80"/>
      <c r="J398" s="80"/>
      <c r="K398" s="77"/>
      <c r="L398" s="78"/>
      <c r="M398" s="79"/>
      <c r="N398" s="79"/>
      <c r="O398" s="79"/>
      <c r="P398" s="79"/>
      <c r="Q398" s="77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</row>
    <row r="399" spans="1:29" ht="13.2" x14ac:dyDescent="0.25">
      <c r="A399" s="120">
        <v>2015</v>
      </c>
      <c r="B399" s="121"/>
      <c r="C399" s="139"/>
      <c r="D399" s="139"/>
      <c r="E399" s="139"/>
      <c r="F399" s="139"/>
      <c r="G399" s="123"/>
      <c r="H399" s="80"/>
      <c r="I399" s="80"/>
      <c r="J399" s="80"/>
      <c r="K399" s="77"/>
      <c r="L399" s="78"/>
      <c r="M399" s="79"/>
      <c r="N399" s="79"/>
      <c r="O399" s="79"/>
      <c r="P399" s="79"/>
      <c r="Q399" s="77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</row>
    <row r="400" spans="1:29" ht="13.2" x14ac:dyDescent="0.25">
      <c r="A400" s="135" t="s">
        <v>388</v>
      </c>
      <c r="B400" s="105">
        <v>288</v>
      </c>
      <c r="C400" s="85">
        <f>84247.6/1000</f>
        <v>84.247600000000006</v>
      </c>
      <c r="D400" s="95">
        <f ca="1">IFERROR(__xludf.DUMMYFUNCTION("$C394*IMPORTRANGE(""https://docs.google.com/spreadsheets/d/1xsp01RMmkav9iTy39Zaj_7tE9677EGlOJ14KU9TZn7I/"",""2004-2017!H3034"")"),71.960930016)</f>
        <v>71.960930016000006</v>
      </c>
      <c r="E400" s="95">
        <f ca="1">IFERROR(__xludf.DUMMYFUNCTION("$C394*IMPORTRANGE(""https://docs.google.com/spreadsheets/d/1xsp01RMmkav9iTy39Zaj_7tE9677EGlOJ14KU9TZn7I/"",""2004-2017!T3034"")"),55.623214186)</f>
        <v>55.623214185999998</v>
      </c>
      <c r="F400" s="95">
        <f ca="1">IFERROR(__xludf.DUMMYFUNCTION("$C394*IMPORTRANGE(""https://docs.google.com/spreadsheets/d/1xsp01RMmkav9iTy39Zaj_7tE9677EGlOJ14KU9TZn7I/"",""2004-2017!AC3034"")"),9965.4802772952)</f>
        <v>9965.4802772952007</v>
      </c>
      <c r="G400" s="124" t="s">
        <v>8</v>
      </c>
      <c r="H400" s="80"/>
      <c r="I400" s="80"/>
      <c r="J400" s="80"/>
      <c r="K400" s="77"/>
      <c r="L400" s="78"/>
      <c r="M400" s="79"/>
      <c r="N400" s="79"/>
      <c r="O400" s="79"/>
      <c r="P400" s="79"/>
      <c r="Q400" s="77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</row>
    <row r="401" spans="1:29" ht="13.2" x14ac:dyDescent="0.25">
      <c r="A401" s="136" t="s">
        <v>389</v>
      </c>
      <c r="B401" s="107">
        <v>315</v>
      </c>
      <c r="C401" s="98">
        <f>34971.6/1000</f>
        <v>34.971599999999995</v>
      </c>
      <c r="D401" s="99">
        <f ca="1">IFERROR(__xludf.DUMMYFUNCTION("$C395*IMPORTRANGE(""https://docs.google.com/spreadsheets/d/1xsp01RMmkav9iTy39Zaj_7tE9677EGlOJ14KU9TZn7I/"",""2004-2017!H3055"")"),30.8381317379999)</f>
        <v>30.838131737999898</v>
      </c>
      <c r="E401" s="99">
        <f ca="1">IFERROR(__xludf.DUMMYFUNCTION("$C395*IMPORTRANGE(""https://docs.google.com/spreadsheets/d/1xsp01RMmkav9iTy39Zaj_7tE9677EGlOJ14KU9TZn7I/"",""2004-2017!T3055"")"),22.7756042159999)</f>
        <v>22.775604215999898</v>
      </c>
      <c r="F401" s="99">
        <f ca="1">IFERROR(__xludf.DUMMYFUNCTION("$C395*IMPORTRANGE(""https://docs.google.com/spreadsheets/d/1xsp01RMmkav9iTy39Zaj_7tE9677EGlOJ14KU9TZn7I/"",""2004-2017!AC3055"")"),4156.61940874259)</f>
        <v>4156.6194087425902</v>
      </c>
      <c r="G401" s="128" t="s">
        <v>8</v>
      </c>
      <c r="H401" s="80"/>
      <c r="I401" s="80"/>
      <c r="J401" s="80"/>
      <c r="K401" s="77"/>
      <c r="L401" s="78"/>
      <c r="M401" s="79"/>
      <c r="N401" s="79"/>
      <c r="O401" s="79"/>
      <c r="P401" s="79"/>
      <c r="Q401" s="77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</row>
    <row r="402" spans="1:29" ht="13.2" x14ac:dyDescent="0.25">
      <c r="A402" s="137" t="s">
        <v>390</v>
      </c>
      <c r="B402" s="103">
        <v>375</v>
      </c>
      <c r="C402" s="88">
        <f>39720.2/1000</f>
        <v>39.720199999999998</v>
      </c>
      <c r="D402" s="96">
        <f ca="1">IFERROR(__xludf.DUMMYFUNCTION("$C396*IMPORTRANGE(""https://docs.google.com/spreadsheets/d/1xsp01RMmkav9iTy39Zaj_7tE9677EGlOJ14KU9TZn7I/"",""2004-2017!H3078"")"),36.615271966)</f>
        <v>36.615271966000002</v>
      </c>
      <c r="E402" s="96">
        <f ca="1">IFERROR(__xludf.DUMMYFUNCTION("$C396*IMPORTRANGE(""https://docs.google.com/spreadsheets/d/1xsp01RMmkav9iTy39Zaj_7tE9677EGlOJ14KU9TZn7I/"",""2004-2017!T3078"")"),26.5898934859999)</f>
        <v>26.589893485999902</v>
      </c>
      <c r="F402" s="96">
        <f ca="1">IFERROR(__xludf.DUMMYFUNCTION("$C396*IMPORTRANGE(""https://docs.google.com/spreadsheets/d/1xsp01RMmkav9iTy39Zaj_7tE9677EGlOJ14KU9TZn7I/"",""2004-2017!AC3078"")"),4768.5887707601)</f>
        <v>4768.5887707600996</v>
      </c>
      <c r="G402" s="126" t="s">
        <v>8</v>
      </c>
      <c r="H402" s="80"/>
      <c r="I402" s="80"/>
      <c r="J402" s="80"/>
      <c r="K402" s="77"/>
      <c r="L402" s="78"/>
      <c r="M402" s="79"/>
      <c r="N402" s="79"/>
      <c r="O402" s="79"/>
      <c r="P402" s="79"/>
      <c r="Q402" s="77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</row>
    <row r="403" spans="1:29" ht="13.2" x14ac:dyDescent="0.25">
      <c r="A403" s="136" t="s">
        <v>391</v>
      </c>
      <c r="B403" s="107">
        <v>338</v>
      </c>
      <c r="C403" s="98">
        <f>92501.6/1000</f>
        <v>92.50160000000001</v>
      </c>
      <c r="D403" s="99">
        <f ca="1">IFERROR(__xludf.DUMMYFUNCTION("$C397*IMPORTRANGE(""https://docs.google.com/spreadsheets/d/1xsp01RMmkav9iTy39Zaj_7tE9677EGlOJ14KU9TZn7I/"",""2004-2017!H3101"")"),85.82760956)</f>
        <v>85.827609559999999</v>
      </c>
      <c r="E403" s="99">
        <f ca="1">IFERROR(__xludf.DUMMYFUNCTION("$C397*IMPORTRANGE(""https://docs.google.com/spreadsheets/d/1xsp01RMmkav9iTy39Zaj_7tE9677EGlOJ14KU9TZn7I/"",""2004-2017!T3101"")"),62.080598808)</f>
        <v>62.080598807999998</v>
      </c>
      <c r="F403" s="99">
        <f ca="1">IFERROR(__xludf.DUMMYFUNCTION("$C397*IMPORTRANGE(""https://docs.google.com/spreadsheets/d/1xsp01RMmkav9iTy39Zaj_7tE9677EGlOJ14KU9TZn7I/"",""2004-2017!AC3101"")"),11056.1610533968)</f>
        <v>11056.1610533968</v>
      </c>
      <c r="G403" s="128" t="s">
        <v>8</v>
      </c>
      <c r="H403" s="80"/>
      <c r="I403" s="80"/>
      <c r="J403" s="80"/>
      <c r="K403" s="77"/>
      <c r="L403" s="78"/>
      <c r="M403" s="79"/>
      <c r="N403" s="79"/>
      <c r="O403" s="79"/>
      <c r="P403" s="79"/>
      <c r="Q403" s="77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</row>
    <row r="404" spans="1:29" ht="13.2" x14ac:dyDescent="0.25">
      <c r="A404" s="137" t="s">
        <v>392</v>
      </c>
      <c r="B404" s="106">
        <v>274</v>
      </c>
      <c r="C404" s="88">
        <f>25459.9/1000</f>
        <v>25.459900000000001</v>
      </c>
      <c r="D404" s="96">
        <f ca="1">IFERROR(__xludf.DUMMYFUNCTION("$C398*IMPORTRANGE(""https://docs.google.com/spreadsheets/d/1xsp01RMmkav9iTy39Zaj_7tE9677EGlOJ14KU9TZn7I/"",""2004-2017!H3123"")"),22.760641402)</f>
        <v>22.760641402000001</v>
      </c>
      <c r="E404" s="96">
        <f ca="1">IFERROR(__xludf.DUMMYFUNCTION("$C398*IMPORTRANGE(""https://docs.google.com/spreadsheets/d/1xsp01RMmkav9iTy39Zaj_7tE9677EGlOJ14KU9TZn7I/"",""2004-2017!T3123"")"),16.455242568)</f>
        <v>16.455242567999999</v>
      </c>
      <c r="F404" s="96">
        <f ca="1">IFERROR(__xludf.DUMMYFUNCTION("$C398*IMPORTRANGE(""https://docs.google.com/spreadsheets/d/1xsp01RMmkav9iTy39Zaj_7tE9677EGlOJ14KU9TZn7I/"",""2004-2017!AC3123"")"),3057.7339390802)</f>
        <v>3057.7339390801999</v>
      </c>
      <c r="G404" s="126" t="s">
        <v>8</v>
      </c>
      <c r="H404" s="80"/>
      <c r="I404" s="80"/>
      <c r="J404" s="80"/>
      <c r="K404" s="77"/>
      <c r="L404" s="78"/>
      <c r="M404" s="79"/>
      <c r="N404" s="79"/>
      <c r="O404" s="79"/>
      <c r="P404" s="79"/>
      <c r="Q404" s="77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</row>
    <row r="405" spans="1:29" ht="13.2" x14ac:dyDescent="0.25">
      <c r="A405" s="136" t="s">
        <v>393</v>
      </c>
      <c r="B405" s="107">
        <v>364</v>
      </c>
      <c r="C405" s="98">
        <f>57603.5/1000</f>
        <v>57.603499999999997</v>
      </c>
      <c r="D405" s="99">
        <f ca="1">IFERROR(__xludf.DUMMYFUNCTION("$C399*IMPORTRANGE(""https://docs.google.com/spreadsheets/d/1xsp01RMmkav9iTy39Zaj_7tE9677EGlOJ14KU9TZn7I/"",""2004-2017!H3146"")"),51.286124155)</f>
        <v>51.286124155000003</v>
      </c>
      <c r="E405" s="99">
        <f ca="1">IFERROR(__xludf.DUMMYFUNCTION("$C399*IMPORTRANGE(""https://docs.google.com/spreadsheets/d/1xsp01RMmkav9iTy39Zaj_7tE9677EGlOJ14KU9TZn7I/"",""2004-2017!T3146"")"),36.97568665)</f>
        <v>36.97568665</v>
      </c>
      <c r="F405" s="99">
        <f ca="1">IFERROR(__xludf.DUMMYFUNCTION("$C399*IMPORTRANGE(""https://docs.google.com/spreadsheets/d/1xsp01RMmkav9iTy39Zaj_7tE9677EGlOJ14KU9TZn7I/"",""2004-2017!AC3146"")"),7119.18779205175)</f>
        <v>7119.18779205175</v>
      </c>
      <c r="G405" s="128" t="s">
        <v>8</v>
      </c>
      <c r="H405" s="80"/>
      <c r="I405" s="80"/>
      <c r="J405" s="80"/>
      <c r="K405" s="77"/>
      <c r="L405" s="78"/>
      <c r="M405" s="79"/>
      <c r="N405" s="79"/>
      <c r="O405" s="79"/>
      <c r="P405" s="79"/>
      <c r="Q405" s="77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</row>
    <row r="406" spans="1:29" ht="13.2" x14ac:dyDescent="0.25">
      <c r="A406" s="137" t="s">
        <v>394</v>
      </c>
      <c r="B406" s="106">
        <v>351</v>
      </c>
      <c r="C406" s="88">
        <f>81395.1/1000</f>
        <v>81.395099999999999</v>
      </c>
      <c r="D406" s="96">
        <f ca="1">IFERROR(__xludf.DUMMYFUNCTION("$C400*IMPORTRANGE(""https://docs.google.com/spreadsheets/d/1xsp01RMmkav9iTy39Zaj_7tE9677EGlOJ14KU9TZn7I/"",""2004-2017!H3170"")"),74.02884345)</f>
        <v>74.028843449999997</v>
      </c>
      <c r="E406" s="96">
        <f ca="1">IFERROR(__xludf.DUMMYFUNCTION("$C400*IMPORTRANGE(""https://docs.google.com/spreadsheets/d/1xsp01RMmkav9iTy39Zaj_7tE9677EGlOJ14KU9TZn7I/"",""2004-2017!T3170"")"),52.175073051)</f>
        <v>52.175073050999998</v>
      </c>
      <c r="F406" s="96">
        <f ca="1">IFERROR(__xludf.DUMMYFUNCTION("$C400*IMPORTRANGE(""https://docs.google.com/spreadsheets/d/1xsp01RMmkav9iTy39Zaj_7tE9677EGlOJ14KU9TZn7I/"",""2004-2017!AC3170"")"),10057.9925069999)</f>
        <v>10057.992506999901</v>
      </c>
      <c r="G406" s="126" t="s">
        <v>8</v>
      </c>
      <c r="H406" s="80"/>
      <c r="I406" s="80"/>
      <c r="J406" s="80"/>
      <c r="K406" s="77"/>
      <c r="L406" s="78"/>
      <c r="M406" s="79"/>
      <c r="N406" s="79"/>
      <c r="O406" s="79"/>
      <c r="P406" s="79"/>
      <c r="Q406" s="77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</row>
    <row r="407" spans="1:29" ht="13.2" x14ac:dyDescent="0.25">
      <c r="A407" s="136" t="s">
        <v>395</v>
      </c>
      <c r="B407" s="107">
        <v>321</v>
      </c>
      <c r="C407" s="98">
        <f>59796.3/1000</f>
        <v>59.796300000000002</v>
      </c>
      <c r="D407" s="99">
        <f ca="1">IFERROR(__xludf.DUMMYFUNCTION("$C401*IMPORTRANGE(""https://docs.google.com/spreadsheets/d/1xsp01RMmkav9iTy39Zaj_7tE9677EGlOJ14KU9TZn7I/"",""2004-2017!H3192"")"),53.904570561)</f>
        <v>53.904570561</v>
      </c>
      <c r="E407" s="99">
        <f ca="1">IFERROR(__xludf.DUMMYFUNCTION("$C401*IMPORTRANGE(""https://docs.google.com/spreadsheets/d/1xsp01RMmkav9iTy39Zaj_7tE9677EGlOJ14KU9TZn7I/"",""2004-2017!T3192"")"),38.316273114)</f>
        <v>38.316273113999998</v>
      </c>
      <c r="F407" s="99">
        <f ca="1">IFERROR(__xludf.DUMMYFUNCTION("$C401*IMPORTRANGE(""https://docs.google.com/spreadsheets/d/1xsp01RMmkav9iTy39Zaj_7tE9677EGlOJ14KU9TZn7I/"",""2004-2017!AC3192"")"),7429.9890771111)</f>
        <v>7429.9890771111004</v>
      </c>
      <c r="G407" s="128" t="s">
        <v>8</v>
      </c>
      <c r="H407" s="80"/>
      <c r="I407" s="80"/>
      <c r="J407" s="80"/>
      <c r="K407" s="77"/>
      <c r="L407" s="78"/>
      <c r="M407" s="79"/>
      <c r="N407" s="79"/>
      <c r="O407" s="79"/>
      <c r="P407" s="79"/>
      <c r="Q407" s="77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</row>
    <row r="408" spans="1:29" ht="13.2" x14ac:dyDescent="0.25">
      <c r="A408" s="137" t="s">
        <v>396</v>
      </c>
      <c r="B408" s="106">
        <v>318</v>
      </c>
      <c r="C408" s="88">
        <f>30300.2/1000</f>
        <v>30.3002</v>
      </c>
      <c r="D408" s="96">
        <f ca="1">IFERROR(__xludf.DUMMYFUNCTION("$C402*IMPORTRANGE(""https://docs.google.com/spreadsheets/d/1xsp01RMmkav9iTy39Zaj_7tE9677EGlOJ14KU9TZn7I/"",""2004-2017!H3215"")"),26.997629701)</f>
        <v>26.997629701000001</v>
      </c>
      <c r="E408" s="96">
        <f ca="1">IFERROR(__xludf.DUMMYFUNCTION("$C402*IMPORTRANGE(""https://docs.google.com/spreadsheets/d/1xsp01RMmkav9iTy39Zaj_7tE9677EGlOJ14KU9TZn7I/"",""2004-2017!T3215"")"),19.740277298)</f>
        <v>19.740277297999999</v>
      </c>
      <c r="F408" s="96">
        <f ca="1">IFERROR(__xludf.DUMMYFUNCTION("$C402*IMPORTRANGE(""https://docs.google.com/spreadsheets/d/1xsp01RMmkav9iTy39Zaj_7tE9677EGlOJ14KU9TZn7I/"",""2004-2017!AC3215"")"),3642.6899682495)</f>
        <v>3642.6899682495</v>
      </c>
      <c r="G408" s="126" t="s">
        <v>8</v>
      </c>
      <c r="H408" s="80"/>
      <c r="I408" s="80"/>
      <c r="J408" s="80"/>
      <c r="K408" s="77"/>
      <c r="L408" s="78"/>
      <c r="M408" s="79"/>
      <c r="N408" s="79"/>
      <c r="O408" s="79"/>
      <c r="P408" s="79"/>
      <c r="Q408" s="77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</row>
    <row r="409" spans="1:29" ht="13.2" x14ac:dyDescent="0.25">
      <c r="A409" s="136" t="s">
        <v>397</v>
      </c>
      <c r="B409" s="107">
        <v>369</v>
      </c>
      <c r="C409" s="98">
        <f>29854.7/1000</f>
        <v>29.854700000000001</v>
      </c>
      <c r="D409" s="99">
        <f ca="1">IFERROR(__xludf.DUMMYFUNCTION("$C403*IMPORTRANGE(""https://docs.google.com/spreadsheets/d/1xsp01RMmkav9iTy39Zaj_7tE9677EGlOJ14KU9TZn7I/"",""2004-2017!H3238"")"),26.5281400525)</f>
        <v>26.5281400525</v>
      </c>
      <c r="E409" s="99">
        <f ca="1">IFERROR(__xludf.DUMMYFUNCTION("$C403*IMPORTRANGE(""https://docs.google.com/spreadsheets/d/1xsp01RMmkav9iTy39Zaj_7tE9677EGlOJ14KU9TZn7I/"",""2004-2017!T3238"")"),19.4830279465)</f>
        <v>19.483027946499998</v>
      </c>
      <c r="F409" s="99">
        <f ca="1">IFERROR(__xludf.DUMMYFUNCTION("$C403*IMPORTRANGE(""https://docs.google.com/spreadsheets/d/1xsp01RMmkav9iTy39Zaj_7tE9677EGlOJ14KU9TZn7I/"",""2004-2017!AC3238"")"),3581.4295811094)</f>
        <v>3581.4295811093998</v>
      </c>
      <c r="G409" s="128" t="s">
        <v>8</v>
      </c>
      <c r="H409" s="80"/>
      <c r="I409" s="80"/>
      <c r="J409" s="80"/>
      <c r="K409" s="77"/>
      <c r="L409" s="78"/>
      <c r="M409" s="79"/>
      <c r="N409" s="79"/>
      <c r="O409" s="79"/>
      <c r="P409" s="79"/>
      <c r="Q409" s="77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</row>
    <row r="410" spans="1:29" ht="13.2" x14ac:dyDescent="0.25">
      <c r="A410" s="137" t="s">
        <v>398</v>
      </c>
      <c r="B410" s="106">
        <v>383</v>
      </c>
      <c r="C410" s="88">
        <f>108103.9/1000</f>
        <v>108.1039</v>
      </c>
      <c r="D410" s="96">
        <f ca="1">IFERROR(__xludf.DUMMYFUNCTION("$C404*IMPORTRANGE(""https://docs.google.com/spreadsheets/d/1xsp01RMmkav9iTy39Zaj_7tE9677EGlOJ14KU9TZn7I/"",""2004-2017!H3260"")"),100.78526597)</f>
        <v>100.78526597</v>
      </c>
      <c r="E410" s="96">
        <f ca="1">IFERROR(__xludf.DUMMYFUNCTION("$C404*IMPORTRANGE(""https://docs.google.com/spreadsheets/d/1xsp01RMmkav9iTy39Zaj_7tE9677EGlOJ14KU9TZn7I/"",""2004-2017!T3260"")"),71.073990094)</f>
        <v>71.073990093999996</v>
      </c>
      <c r="F410" s="96">
        <f ca="1">IFERROR(__xludf.DUMMYFUNCTION("$C404*IMPORTRANGE(""https://docs.google.com/spreadsheets/d/1xsp01RMmkav9iTy39Zaj_7tE9677EGlOJ14KU9TZn7I/"",""2004-2017!AC3260"")"),13270.5108847155)</f>
        <v>13270.510884715501</v>
      </c>
      <c r="G410" s="126" t="s">
        <v>8</v>
      </c>
      <c r="H410" s="80"/>
      <c r="I410" s="80"/>
      <c r="J410" s="80"/>
      <c r="K410" s="77"/>
      <c r="L410" s="78"/>
      <c r="M410" s="79"/>
      <c r="N410" s="79"/>
      <c r="O410" s="79"/>
      <c r="P410" s="79"/>
      <c r="Q410" s="77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</row>
    <row r="411" spans="1:29" ht="13.2" x14ac:dyDescent="0.25">
      <c r="A411" s="138" t="s">
        <v>399</v>
      </c>
      <c r="B411" s="108">
        <v>569</v>
      </c>
      <c r="C411" s="101">
        <f>100336.4/1000</f>
        <v>100.3364</v>
      </c>
      <c r="D411" s="102">
        <f ca="1">IFERROR(__xludf.DUMMYFUNCTION("$C405*IMPORTRANGE(""https://docs.google.com/spreadsheets/d/1xsp01RMmkav9iTy39Zaj_7tE9677EGlOJ14KU9TZn7I/"",""2004-2017!H3284"")"),91.9171726759999)</f>
        <v>91.917172675999893</v>
      </c>
      <c r="E411" s="102">
        <f ca="1">IFERROR(__xludf.DUMMYFUNCTION("$C405*IMPORTRANGE(""https://docs.google.com/spreadsheets/d/1xsp01RMmkav9iTy39Zaj_7tE9677EGlOJ14KU9TZn7I/"",""2004-2017!T3284"")"),66.98959746)</f>
        <v>66.989597459999999</v>
      </c>
      <c r="F411" s="102">
        <f ca="1">IFERROR(__xludf.DUMMYFUNCTION("$C405*IMPORTRANGE(""https://docs.google.com/spreadsheets/d/1xsp01RMmkav9iTy39Zaj_7tE9677EGlOJ14KU9TZn7I/"",""2004-2017!AC3284"")"),12208.4317710092)</f>
        <v>12208.4317710092</v>
      </c>
      <c r="G411" s="129" t="s">
        <v>8</v>
      </c>
      <c r="H411" s="80"/>
      <c r="I411" s="80"/>
      <c r="J411" s="80"/>
      <c r="K411" s="77"/>
      <c r="L411" s="78"/>
      <c r="M411" s="79"/>
      <c r="N411" s="79"/>
      <c r="O411" s="79"/>
      <c r="P411" s="79"/>
      <c r="Q411" s="77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</row>
    <row r="412" spans="1:29" ht="13.2" x14ac:dyDescent="0.25">
      <c r="A412" s="120">
        <v>2016</v>
      </c>
      <c r="B412" s="121"/>
      <c r="C412" s="121"/>
      <c r="D412" s="139"/>
      <c r="E412" s="139"/>
      <c r="F412" s="139"/>
      <c r="G412" s="123"/>
      <c r="H412" s="80"/>
      <c r="I412" s="80"/>
      <c r="J412" s="80"/>
      <c r="K412" s="77"/>
      <c r="L412" s="78"/>
      <c r="M412" s="79"/>
      <c r="N412" s="79"/>
      <c r="O412" s="79"/>
      <c r="P412" s="79"/>
      <c r="Q412" s="77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</row>
    <row r="413" spans="1:29" ht="13.2" x14ac:dyDescent="0.25">
      <c r="A413" s="135" t="s">
        <v>400</v>
      </c>
      <c r="B413" s="105">
        <v>298</v>
      </c>
      <c r="C413" s="85">
        <f>21030.8/1000</f>
        <v>21.030799999999999</v>
      </c>
      <c r="D413" s="95">
        <f ca="1">IFERROR(__xludf.DUMMYFUNCTION("$C407*IMPORTRANGE(""https://docs.google.com/spreadsheets/d/1xsp01RMmkav9iTy39Zaj_7tE9677EGlOJ14KU9TZn7I/"",""2004-2017!H3307"")"),19.361795712)</f>
        <v>19.361795711999999</v>
      </c>
      <c r="E413" s="95">
        <f ca="1">IFERROR(__xludf.DUMMYFUNCTION("$C407*IMPORTRANGE(""https://docs.google.com/spreadsheets/d/1xsp01RMmkav9iTy39Zaj_7tE9677EGlOJ14KU9TZn7I/"",""2004-2017!T3307"")"),14.596637048)</f>
        <v>14.596637048</v>
      </c>
      <c r="F413" s="95">
        <f ca="1">IFERROR(__xludf.DUMMYFUNCTION("$C407*IMPORTRANGE(""https://docs.google.com/spreadsheets/d/1xsp01RMmkav9iTy39Zaj_7tE9677EGlOJ14KU9TZn7I/"",""2004-2017!AC3307"")"),2485.9037154924)</f>
        <v>2485.9037154923999</v>
      </c>
      <c r="G413" s="124" t="s">
        <v>8</v>
      </c>
      <c r="H413" s="80"/>
      <c r="I413" s="80"/>
      <c r="J413" s="80"/>
      <c r="K413" s="77"/>
      <c r="L413" s="78"/>
      <c r="M413" s="79"/>
      <c r="N413" s="79"/>
      <c r="O413" s="79"/>
      <c r="P413" s="79"/>
      <c r="Q413" s="77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</row>
    <row r="414" spans="1:29" ht="13.2" x14ac:dyDescent="0.25">
      <c r="A414" s="136" t="s">
        <v>401</v>
      </c>
      <c r="B414" s="107">
        <v>291</v>
      </c>
      <c r="C414" s="98">
        <f>38164.2/1000</f>
        <v>38.164199999999994</v>
      </c>
      <c r="D414" s="99">
        <f ca="1">IFERROR(__xludf.DUMMYFUNCTION("$C408*IMPORTRANGE(""https://docs.google.com/spreadsheets/d/1xsp01RMmkav9iTy39Zaj_7tE9677EGlOJ14KU9TZn7I/"",""2004-2017!H3329"")"),34.3111423679999)</f>
        <v>34.311142367999899</v>
      </c>
      <c r="E414" s="99">
        <f ca="1">IFERROR(__xludf.DUMMYFUNCTION("$C408*IMPORTRANGE(""https://docs.google.com/spreadsheets/d/1xsp01RMmkav9iTy39Zaj_7tE9677EGlOJ14KU9TZn7I/"",""2004-2017!T3329"")"),26.4859547999999)</f>
        <v>26.485954799999899</v>
      </c>
      <c r="F414" s="99">
        <f ca="1">IFERROR(__xludf.DUMMYFUNCTION("$C408*IMPORTRANGE(""https://docs.google.com/spreadsheets/d/1xsp01RMmkav9iTy39Zaj_7tE9677EGlOJ14KU9TZn7I/"",""2004-2017!AC3329"")"),4353.77201232839)</f>
        <v>4353.7720123283898</v>
      </c>
      <c r="G414" s="128" t="s">
        <v>8</v>
      </c>
      <c r="H414" s="80"/>
      <c r="I414" s="80"/>
      <c r="J414" s="80"/>
      <c r="K414" s="77"/>
      <c r="L414" s="78"/>
      <c r="M414" s="79"/>
      <c r="N414" s="79"/>
      <c r="O414" s="79"/>
      <c r="P414" s="79"/>
      <c r="Q414" s="77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</row>
    <row r="415" spans="1:29" ht="13.2" x14ac:dyDescent="0.25">
      <c r="A415" s="137" t="s">
        <v>402</v>
      </c>
      <c r="B415" s="106">
        <v>373</v>
      </c>
      <c r="C415" s="88">
        <f>39499.7/1000</f>
        <v>39.499699999999997</v>
      </c>
      <c r="D415" s="96">
        <f ca="1">IFERROR(__xludf.DUMMYFUNCTION("$C409*IMPORTRANGE(""https://docs.google.com/spreadsheets/d/1xsp01RMmkav9iTy39Zaj_7tE9677EGlOJ14KU9TZn7I/"",""2004-2017!H3353"")"),35.368821374)</f>
        <v>35.368821373999999</v>
      </c>
      <c r="E415" s="96">
        <f ca="1">IFERROR(__xludf.DUMMYFUNCTION("$C409*IMPORTRANGE(""https://docs.google.com/spreadsheets/d/1xsp01RMmkav9iTy39Zaj_7tE9677EGlOJ14KU9TZn7I/"",""2004-2017!T3353"")"),27.767894103)</f>
        <v>27.767894103</v>
      </c>
      <c r="F415" s="96">
        <f ca="1">IFERROR(__xludf.DUMMYFUNCTION("$C409*IMPORTRANGE(""https://docs.google.com/spreadsheets/d/1xsp01RMmkav9iTy39Zaj_7tE9677EGlOJ14KU9TZn7I/"",""2004-2017!AC3353"")"),4457.93618149969)</f>
        <v>4457.9361814996901</v>
      </c>
      <c r="G415" s="126" t="s">
        <v>8</v>
      </c>
      <c r="H415" s="80"/>
      <c r="I415" s="80"/>
      <c r="J415" s="80"/>
      <c r="K415" s="77"/>
      <c r="L415" s="78"/>
      <c r="M415" s="79"/>
      <c r="N415" s="79"/>
      <c r="O415" s="79"/>
      <c r="P415" s="79"/>
      <c r="Q415" s="77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</row>
    <row r="416" spans="1:29" ht="13.2" x14ac:dyDescent="0.25">
      <c r="A416" s="136" t="s">
        <v>403</v>
      </c>
      <c r="B416" s="107">
        <v>310</v>
      </c>
      <c r="C416" s="98">
        <f>24253.5/1000</f>
        <v>24.253499999999999</v>
      </c>
      <c r="D416" s="99">
        <f ca="1">IFERROR(__xludf.DUMMYFUNCTION("$C410*IMPORTRANGE(""https://docs.google.com/spreadsheets/d/1xsp01RMmkav9iTy39Zaj_7tE9677EGlOJ14KU9TZn7I/"",""2004-2017!H3375"")"),21.3576321)</f>
        <v>21.3576321</v>
      </c>
      <c r="E416" s="99">
        <f ca="1">IFERROR(__xludf.DUMMYFUNCTION("$C410*IMPORTRANGE(""https://docs.google.com/spreadsheets/d/1xsp01RMmkav9iTy39Zaj_7tE9677EGlOJ14KU9TZn7I/"",""2004-2017!T3375"")"),16.99733787)</f>
        <v>16.997337869999999</v>
      </c>
      <c r="F416" s="99">
        <f ca="1">IFERROR(__xludf.DUMMYFUNCTION("$C410*IMPORTRANGE(""https://docs.google.com/spreadsheets/d/1xsp01RMmkav9iTy39Zaj_7tE9677EGlOJ14KU9TZn7I/"",""2004-2017!AC3375"")"),2654.23018248599)</f>
        <v>2654.2301824859901</v>
      </c>
      <c r="G416" s="128" t="s">
        <v>8</v>
      </c>
      <c r="H416" s="80"/>
      <c r="I416" s="80"/>
      <c r="J416" s="80"/>
      <c r="K416" s="77"/>
      <c r="L416" s="78"/>
      <c r="M416" s="79"/>
      <c r="N416" s="79"/>
      <c r="O416" s="79"/>
      <c r="P416" s="79"/>
      <c r="Q416" s="77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</row>
    <row r="417" spans="1:29" ht="13.2" x14ac:dyDescent="0.25">
      <c r="A417" s="137" t="s">
        <v>404</v>
      </c>
      <c r="B417" s="106">
        <v>269</v>
      </c>
      <c r="C417" s="88">
        <f>15156.4/1000</f>
        <v>15.1564</v>
      </c>
      <c r="D417" s="96">
        <f ca="1">IFERROR(__xludf.DUMMYFUNCTION("$C411*IMPORTRANGE(""https://docs.google.com/spreadsheets/d/1xsp01RMmkav9iTy39Zaj_7tE9677EGlOJ14KU9TZn7I/"",""2004-2017!H3398"")"),13.393180206)</f>
        <v>13.393180206</v>
      </c>
      <c r="E417" s="96">
        <f ca="1">IFERROR(__xludf.DUMMYFUNCTION("$C411*IMPORTRANGE(""https://docs.google.com/spreadsheets/d/1xsp01RMmkav9iTy39Zaj_7tE9677EGlOJ14KU9TZn7I/"",""2004-2017!T3398"")"),10.4527628239999)</f>
        <v>10.452762823999899</v>
      </c>
      <c r="F417" s="96">
        <f ca="1">IFERROR(__xludf.DUMMYFUNCTION("$C411*IMPORTRANGE(""https://docs.google.com/spreadsheets/d/1xsp01RMmkav9iTy39Zaj_7tE9677EGlOJ14KU9TZn7I/"",""2004-2017!AC3398"")"),1653.411676)</f>
        <v>1653.4116759999999</v>
      </c>
      <c r="G417" s="126" t="s">
        <v>8</v>
      </c>
      <c r="H417" s="80"/>
      <c r="I417" s="80"/>
      <c r="J417" s="80"/>
      <c r="K417" s="77"/>
      <c r="L417" s="78"/>
      <c r="M417" s="79"/>
      <c r="N417" s="79"/>
      <c r="O417" s="79"/>
      <c r="P417" s="79"/>
      <c r="Q417" s="77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</row>
    <row r="418" spans="1:29" ht="13.2" x14ac:dyDescent="0.25">
      <c r="A418" s="136" t="s">
        <v>405</v>
      </c>
      <c r="B418" s="107">
        <v>327</v>
      </c>
      <c r="C418" s="98">
        <f>35932.6/1000</f>
        <v>35.932600000000001</v>
      </c>
      <c r="D418" s="99">
        <f ca="1">IFERROR(__xludf.DUMMYFUNCTION("$C412*IMPORTRANGE(""https://docs.google.com/spreadsheets/d/1xsp01RMmkav9iTy39Zaj_7tE9677EGlOJ14KU9TZn7I/"",""2004-2017!H3421"")"),31.9192879059999)</f>
        <v>31.919287905999902</v>
      </c>
      <c r="E418" s="99">
        <f ca="1">IFERROR(__xludf.DUMMYFUNCTION("$C412*IMPORTRANGE(""https://docs.google.com/spreadsheets/d/1xsp01RMmkav9iTy39Zaj_7tE9677EGlOJ14KU9TZn7I/"",""2004-2017!T3421"")"),24.931654847)</f>
        <v>24.931654847000001</v>
      </c>
      <c r="F418" s="99">
        <f ca="1">IFERROR(__xludf.DUMMYFUNCTION("$C412*IMPORTRANGE(""https://docs.google.com/spreadsheets/d/1xsp01RMmkav9iTy39Zaj_7tE9677EGlOJ14KU9TZn7I/"",""2004-2017!AC3421"")"),3807.7236512348)</f>
        <v>3807.7236512347999</v>
      </c>
      <c r="G418" s="128" t="s">
        <v>8</v>
      </c>
      <c r="H418" s="80"/>
      <c r="I418" s="80"/>
      <c r="J418" s="80"/>
      <c r="K418" s="77"/>
      <c r="L418" s="78"/>
      <c r="M418" s="79"/>
      <c r="N418" s="79"/>
      <c r="O418" s="79"/>
      <c r="P418" s="79"/>
      <c r="Q418" s="77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</row>
    <row r="419" spans="1:29" ht="13.2" x14ac:dyDescent="0.25">
      <c r="A419" s="137" t="s">
        <v>406</v>
      </c>
      <c r="B419" s="106">
        <v>300</v>
      </c>
      <c r="C419" s="88">
        <f>27455.7/1000</f>
        <v>27.4557</v>
      </c>
      <c r="D419" s="96">
        <f ca="1">IFERROR(__xludf.DUMMYFUNCTION("$C413*IMPORTRANGE(""https://docs.google.com/spreadsheets/d/1xsp01RMmkav9iTy39Zaj_7tE9677EGlOJ14KU9TZn7I/"",""2004-2017!H3443"")"),24.813088875)</f>
        <v>24.813088874999998</v>
      </c>
      <c r="E419" s="96">
        <f ca="1">IFERROR(__xludf.DUMMYFUNCTION("$C413*IMPORTRANGE(""https://docs.google.com/spreadsheets/d/1xsp01RMmkav9iTy39Zaj_7tE9677EGlOJ14KU9TZn7I/"",""2004-2017!T3443"")"),20.8600171889999)</f>
        <v>20.860017188999901</v>
      </c>
      <c r="F419" s="96">
        <f ca="1">IFERROR(__xludf.DUMMYFUNCTION("$C413*IMPORTRANGE(""https://docs.google.com/spreadsheets/d/1xsp01RMmkav9iTy39Zaj_7tE9677EGlOJ14KU9TZn7I/"",""2004-2017!AC3443"")"),2876.1492268329)</f>
        <v>2876.1492268328998</v>
      </c>
      <c r="G419" s="126" t="s">
        <v>8</v>
      </c>
      <c r="H419" s="80"/>
      <c r="I419" s="80"/>
      <c r="J419" s="80"/>
      <c r="K419" s="77"/>
      <c r="L419" s="78"/>
      <c r="M419" s="79"/>
      <c r="N419" s="79"/>
      <c r="O419" s="79"/>
      <c r="P419" s="79"/>
      <c r="Q419" s="77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</row>
    <row r="420" spans="1:29" ht="13.2" x14ac:dyDescent="0.25">
      <c r="A420" s="136" t="s">
        <v>407</v>
      </c>
      <c r="B420" s="107">
        <v>321</v>
      </c>
      <c r="C420" s="98">
        <f>29213.7/1000</f>
        <v>29.213699999999999</v>
      </c>
      <c r="D420" s="99">
        <f ca="1">IFERROR(__xludf.DUMMYFUNCTION("$C414*IMPORTRANGE(""https://docs.google.com/spreadsheets/d/1xsp01RMmkav9iTy39Zaj_7tE9677EGlOJ14KU9TZn7I/"",""2004-2017!H3467"")"),26.1152949779999)</f>
        <v>26.115294977999898</v>
      </c>
      <c r="E420" s="99">
        <f ca="1">IFERROR(__xludf.DUMMYFUNCTION("$C414*IMPORTRANGE(""https://docs.google.com/spreadsheets/d/1xsp01RMmkav9iTy39Zaj_7tE9677EGlOJ14KU9TZn7I/"",""2004-2017!T3467"")"),22.28713173)</f>
        <v>22.287131729999999</v>
      </c>
      <c r="F420" s="99">
        <f ca="1">IFERROR(__xludf.DUMMYFUNCTION("$C414*IMPORTRANGE(""https://docs.google.com/spreadsheets/d/1xsp01RMmkav9iTy39Zaj_7tE9677EGlOJ14KU9TZn7I/"",""2004-2017!AC3467"")"),2957.5949295726)</f>
        <v>2957.5949295726</v>
      </c>
      <c r="G420" s="128" t="s">
        <v>8</v>
      </c>
      <c r="H420" s="80"/>
      <c r="I420" s="80"/>
      <c r="J420" s="80"/>
      <c r="K420" s="77"/>
      <c r="L420" s="78"/>
      <c r="M420" s="79"/>
      <c r="N420" s="79"/>
      <c r="O420" s="79"/>
      <c r="P420" s="79"/>
      <c r="Q420" s="77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</row>
    <row r="421" spans="1:29" ht="13.2" x14ac:dyDescent="0.25">
      <c r="A421" s="137" t="s">
        <v>408</v>
      </c>
      <c r="B421" s="106">
        <v>328</v>
      </c>
      <c r="C421" s="88">
        <f>47928.8/1000</f>
        <v>47.928800000000003</v>
      </c>
      <c r="D421" s="96">
        <f ca="1">IFERROR(__xludf.DUMMYFUNCTION("$C415*IMPORTRANGE(""https://docs.google.com/spreadsheets/d/1xsp01RMmkav9iTy39Zaj_7tE9677EGlOJ14KU9TZn7I/"",""2004-2017!H3490"")"),42.71893944)</f>
        <v>42.71893944</v>
      </c>
      <c r="E421" s="96">
        <f ca="1">IFERROR(__xludf.DUMMYFUNCTION("$C415*IMPORTRANGE(""https://docs.google.com/spreadsheets/d/1xsp01RMmkav9iTy39Zaj_7tE9677EGlOJ14KU9TZn7I/"",""2004-2017!T3490"")"),36.40911292)</f>
        <v>36.409112919999998</v>
      </c>
      <c r="F421" s="96">
        <f ca="1">IFERROR(__xludf.DUMMYFUNCTION("$C415*IMPORTRANGE(""https://docs.google.com/spreadsheets/d/1xsp01RMmkav9iTy39Zaj_7tE9677EGlOJ14KU9TZn7I/"",""2004-2017!AC3490"")"),4880.9492418932)</f>
        <v>4880.9492418932005</v>
      </c>
      <c r="G421" s="126" t="s">
        <v>8</v>
      </c>
      <c r="H421" s="80"/>
      <c r="I421" s="80"/>
      <c r="J421" s="80"/>
      <c r="K421" s="77"/>
      <c r="L421" s="78"/>
      <c r="M421" s="79"/>
      <c r="N421" s="79"/>
      <c r="O421" s="79"/>
      <c r="P421" s="79"/>
      <c r="Q421" s="77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</row>
    <row r="422" spans="1:29" ht="13.2" x14ac:dyDescent="0.25">
      <c r="A422" s="136" t="s">
        <v>409</v>
      </c>
      <c r="B422" s="107">
        <v>303</v>
      </c>
      <c r="C422" s="98">
        <f>35309.9/1000</f>
        <v>35.309899999999999</v>
      </c>
      <c r="D422" s="99">
        <f ca="1">IFERROR(__xludf.DUMMYFUNCTION("$C416*IMPORTRANGE(""https://docs.google.com/spreadsheets/d/1xsp01RMmkav9iTy39Zaj_7tE9677EGlOJ14KU9TZn7I/"",""2004-2017!H3512"")"),32.065273289)</f>
        <v>32.065273288999997</v>
      </c>
      <c r="E422" s="99">
        <f ca="1">IFERROR(__xludf.DUMMYFUNCTION("$C416*IMPORTRANGE(""https://docs.google.com/spreadsheets/d/1xsp01RMmkav9iTy39Zaj_7tE9677EGlOJ14KU9TZn7I/"",""2004-2017!T3512"")"),28.8093474099999)</f>
        <v>28.809347409999901</v>
      </c>
      <c r="F422" s="99">
        <f ca="1">IFERROR(__xludf.DUMMYFUNCTION("$C416*IMPORTRANGE(""https://docs.google.com/spreadsheets/d/1xsp01RMmkav9iTy39Zaj_7tE9677EGlOJ14KU9TZn7I/"",""2004-2017!AC3512"")"),3666.9683542802)</f>
        <v>3666.9683542801999</v>
      </c>
      <c r="G422" s="128" t="s">
        <v>8</v>
      </c>
      <c r="H422" s="80"/>
      <c r="I422" s="80"/>
      <c r="J422" s="80"/>
      <c r="K422" s="77"/>
      <c r="L422" s="78"/>
      <c r="M422" s="79"/>
      <c r="N422" s="79"/>
      <c r="O422" s="79"/>
      <c r="P422" s="79"/>
      <c r="Q422" s="77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</row>
    <row r="423" spans="1:29" ht="13.2" x14ac:dyDescent="0.25">
      <c r="A423" s="137" t="s">
        <v>410</v>
      </c>
      <c r="B423" s="106">
        <v>285</v>
      </c>
      <c r="C423" s="88">
        <f>21526.4/1000</f>
        <v>21.526400000000002</v>
      </c>
      <c r="D423" s="96">
        <f ca="1">IFERROR(__xludf.DUMMYFUNCTION("$C417*IMPORTRANGE(""https://docs.google.com/spreadsheets/d/1xsp01RMmkav9iTy39Zaj_7tE9677EGlOJ14KU9TZn7I/"",""2004-2017!H3535"")"),20.04538368)</f>
        <v>20.04538368</v>
      </c>
      <c r="E423" s="96">
        <f ca="1">IFERROR(__xludf.DUMMYFUNCTION("$C417*IMPORTRANGE(""https://docs.google.com/spreadsheets/d/1xsp01RMmkav9iTy39Zaj_7tE9677EGlOJ14KU9TZn7I/"",""2004-2017!T3535"")"),17.3072256)</f>
        <v>17.307225599999999</v>
      </c>
      <c r="F423" s="96">
        <f ca="1">IFERROR(__xludf.DUMMYFUNCTION("$C417*IMPORTRANGE(""https://docs.google.com/spreadsheets/d/1xsp01RMmkav9iTy39Zaj_7tE9677EGlOJ14KU9TZn7I/"",""2004-2017!AC3535"")"),2335.4745537424)</f>
        <v>2335.4745537424001</v>
      </c>
      <c r="G423" s="126" t="s">
        <v>8</v>
      </c>
      <c r="H423" s="80"/>
      <c r="I423" s="80"/>
      <c r="J423" s="80"/>
      <c r="K423" s="77"/>
      <c r="L423" s="78"/>
      <c r="M423" s="79"/>
      <c r="N423" s="79"/>
      <c r="O423" s="79"/>
      <c r="P423" s="79"/>
      <c r="Q423" s="77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</row>
    <row r="424" spans="1:29" ht="13.2" x14ac:dyDescent="0.25">
      <c r="A424" s="138" t="s">
        <v>411</v>
      </c>
      <c r="B424" s="108">
        <v>402</v>
      </c>
      <c r="C424" s="101">
        <f>56847.7/1000</f>
        <v>56.847699999999996</v>
      </c>
      <c r="D424" s="102">
        <f ca="1">IFERROR(__xludf.DUMMYFUNCTION("$C418*IMPORTRANGE(""https://docs.google.com/spreadsheets/d/1xsp01RMmkav9iTy39Zaj_7tE9677EGlOJ14KU9TZn7I/"",""2004-2017!H3558"")"),53.9825759199999)</f>
        <v>53.982575919999903</v>
      </c>
      <c r="E424" s="102">
        <f ca="1">IFERROR(__xludf.DUMMYFUNCTION("$C418*IMPORTRANGE(""https://docs.google.com/spreadsheets/d/1xsp01RMmkav9iTy39Zaj_7tE9677EGlOJ14KU9TZn7I/"",""2004-2017!T3558"")"),45.46679046)</f>
        <v>45.466790459999999</v>
      </c>
      <c r="F424" s="102">
        <f ca="1">IFERROR(__xludf.DUMMYFUNCTION("$C418*IMPORTRANGE(""https://docs.google.com/spreadsheets/d/1xsp01RMmkav9iTy39Zaj_7tE9677EGlOJ14KU9TZn7I/"",""2004-2017!AC3558"")"),6631.39792882385)</f>
        <v>6631.3979288238497</v>
      </c>
      <c r="G424" s="129" t="s">
        <v>8</v>
      </c>
      <c r="H424" s="80"/>
      <c r="I424" s="80"/>
      <c r="J424" s="80"/>
      <c r="K424" s="77"/>
      <c r="L424" s="78"/>
      <c r="M424" s="79"/>
      <c r="N424" s="79"/>
      <c r="O424" s="79"/>
      <c r="P424" s="79"/>
      <c r="Q424" s="77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</row>
    <row r="425" spans="1:29" ht="13.2" x14ac:dyDescent="0.25">
      <c r="A425" s="120">
        <v>2017</v>
      </c>
      <c r="B425" s="121"/>
      <c r="C425" s="139"/>
      <c r="D425" s="139"/>
      <c r="E425" s="139"/>
      <c r="F425" s="139"/>
      <c r="G425" s="123"/>
      <c r="H425" s="80"/>
      <c r="I425" s="80"/>
      <c r="J425" s="80"/>
      <c r="K425" s="77"/>
      <c r="L425" s="78"/>
      <c r="M425" s="79"/>
      <c r="N425" s="79"/>
      <c r="O425" s="79"/>
      <c r="P425" s="79"/>
      <c r="Q425" s="77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</row>
    <row r="426" spans="1:29" ht="13.2" x14ac:dyDescent="0.25">
      <c r="A426" s="135" t="s">
        <v>412</v>
      </c>
      <c r="B426" s="105">
        <v>340</v>
      </c>
      <c r="C426" s="85">
        <f>33577.1/1000</f>
        <v>33.577100000000002</v>
      </c>
      <c r="D426" s="95">
        <f ca="1">IFERROR(__xludf.DUMMYFUNCTION("$C420*IMPORTRANGE(""https://docs.google.com/spreadsheets/d/1xsp01RMmkav9iTy39Zaj_7tE9677EGlOJ14KU9TZn7I/"",""2004-2017!H3582"")"),31.6099855965)</f>
        <v>31.6099855965</v>
      </c>
      <c r="E426" s="95">
        <f ca="1">IFERROR(__xludf.DUMMYFUNCTION("$C420*IMPORTRANGE(""https://docs.google.com/spreadsheets/d/1xsp01RMmkav9iTy39Zaj_7tE9677EGlOJ14KU9TZn7I/"",""2004-2017!T3582"")"),27.2263273059999)</f>
        <v>27.226327305999899</v>
      </c>
      <c r="F426" s="95">
        <f ca="1">IFERROR(__xludf.DUMMYFUNCTION("$C420*IMPORTRANGE(""https://docs.google.com/spreadsheets/d/1xsp01RMmkav9iTy39Zaj_7tE9677EGlOJ14KU9TZn7I/"",""2004-2017!AC3582"")"),3851.7970265)</f>
        <v>3851.7970264999999</v>
      </c>
      <c r="G426" s="124" t="s">
        <v>8</v>
      </c>
      <c r="H426" s="80"/>
      <c r="I426" s="80"/>
      <c r="J426" s="80"/>
      <c r="K426" s="77"/>
      <c r="L426" s="78"/>
      <c r="M426" s="79"/>
      <c r="N426" s="79"/>
      <c r="O426" s="79"/>
      <c r="P426" s="79"/>
      <c r="Q426" s="77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</row>
    <row r="427" spans="1:29" ht="13.2" x14ac:dyDescent="0.25">
      <c r="A427" s="136" t="s">
        <v>413</v>
      </c>
      <c r="B427" s="107">
        <v>276</v>
      </c>
      <c r="C427" s="98">
        <f>62528.3/1000</f>
        <v>62.528300000000002</v>
      </c>
      <c r="D427" s="99">
        <f ca="1">IFERROR(__xludf.DUMMYFUNCTION("$C421*IMPORTRANGE(""https://docs.google.com/spreadsheets/d/1xsp01RMmkav9iTy39Zaj_7tE9677EGlOJ14KU9TZn7I/"",""2004-2017!h3603"")"),58.8607025635)</f>
        <v>58.860702563499999</v>
      </c>
      <c r="E427" s="99">
        <f ca="1">IFERROR(__xludf.DUMMYFUNCTION("$C421*IMPORTRANGE(""https://docs.google.com/spreadsheets/d/1xsp01RMmkav9iTy39Zaj_7tE9677EGlOJ14KU9TZn7I/"",""2004-2017!T3603"")"),50.079540753)</f>
        <v>50.079540753000003</v>
      </c>
      <c r="F427" s="99">
        <f ca="1">IFERROR(__xludf.DUMMYFUNCTION("$C421*IMPORTRANGE(""https://docs.google.com/spreadsheets/d/1xsp01RMmkav9iTy39Zaj_7tE9677EGlOJ14KU9TZn7I/"",""2004-2017!AC3603"")"),7071.6694151783)</f>
        <v>7071.6694151783004</v>
      </c>
      <c r="G427" s="128" t="s">
        <v>8</v>
      </c>
      <c r="H427" s="80"/>
      <c r="I427" s="80"/>
      <c r="J427" s="80"/>
      <c r="K427" s="77"/>
      <c r="L427" s="78"/>
      <c r="M427" s="79"/>
      <c r="N427" s="79"/>
      <c r="O427" s="79"/>
      <c r="P427" s="79"/>
      <c r="Q427" s="77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</row>
    <row r="428" spans="1:29" ht="13.2" x14ac:dyDescent="0.25">
      <c r="A428" s="137" t="s">
        <v>414</v>
      </c>
      <c r="B428" s="106">
        <v>369</v>
      </c>
      <c r="C428" s="88">
        <f>25901.5/1000</f>
        <v>25.901499999999999</v>
      </c>
      <c r="D428" s="96">
        <f ca="1">IFERROR(__xludf.DUMMYFUNCTION("$C422*IMPORTRANGE(""https://docs.google.com/spreadsheets/d/1xsp01RMmkav9iTy39Zaj_7tE9677EGlOJ14KU9TZn7I/"",""2004-2017!H3627"")"),24.2295581749999)</f>
        <v>24.229558174999902</v>
      </c>
      <c r="E428" s="96">
        <f ca="1">IFERROR(__xludf.DUMMYFUNCTION("$C422*IMPORTRANGE(""https://docs.google.com/spreadsheets/d/1xsp01RMmkav9iTy39Zaj_7tE9677EGlOJ14KU9TZn7I/"",""2004-2017!T3627"")"),20.97089046)</f>
        <v>20.97089046</v>
      </c>
      <c r="F428" s="96">
        <f ca="1">IFERROR(__xludf.DUMMYFUNCTION("$C422*IMPORTRANGE(""https://docs.google.com/spreadsheets/d/1xsp01RMmkav9iTy39Zaj_7tE9677EGlOJ14KU9TZn7I/"",""2004-2017!AC3627"")"),2935.675906394)</f>
        <v>2935.6759063939999</v>
      </c>
      <c r="G428" s="126" t="s">
        <v>8</v>
      </c>
      <c r="H428" s="80"/>
      <c r="I428" s="80"/>
      <c r="J428" s="80"/>
      <c r="K428" s="77"/>
      <c r="L428" s="78"/>
      <c r="M428" s="79"/>
      <c r="N428" s="79"/>
      <c r="O428" s="79"/>
      <c r="P428" s="79"/>
      <c r="Q428" s="77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</row>
    <row r="429" spans="1:29" ht="13.2" x14ac:dyDescent="0.25">
      <c r="A429" s="136" t="s">
        <v>415</v>
      </c>
      <c r="B429" s="107">
        <v>284</v>
      </c>
      <c r="C429" s="98">
        <f>37855.21/1000</f>
        <v>37.85521</v>
      </c>
      <c r="D429" s="99">
        <f ca="1">IFERROR(__xludf.DUMMYFUNCTION("$C423*IMPORTRANGE(""https://docs.google.com/spreadsheets/d/1xsp01RMmkav9iTy39Zaj_7tE9677EGlOJ14KU9TZn7I/"",""2004-2017!H3648"")"),35.4729816347)</f>
        <v>35.472981634699998</v>
      </c>
      <c r="E429" s="99">
        <f ca="1">IFERROR(__xludf.DUMMYFUNCTION("$C423*IMPORTRANGE(""https://docs.google.com/spreadsheets/d/1xsp01RMmkav9iTy39Zaj_7tE9677EGlOJ14KU9TZn7I/"",""2004-2017!T3648"")"),30.1747664430999)</f>
        <v>30.174766443099902</v>
      </c>
      <c r="F429" s="99">
        <f ca="1">IFERROR(__xludf.DUMMYFUNCTION("$C423*IMPORTRANGE(""https://docs.google.com/spreadsheets/d/1xsp01RMmkav9iTy39Zaj_7tE9677EGlOJ14KU9TZn7I/"",""2004-2017!AC3648"")"),4170.86799662937)</f>
        <v>4170.8679966293703</v>
      </c>
      <c r="G429" s="128" t="s">
        <v>8</v>
      </c>
      <c r="H429" s="80"/>
      <c r="I429" s="80"/>
      <c r="J429" s="80"/>
      <c r="K429" s="77"/>
      <c r="L429" s="78"/>
      <c r="M429" s="79"/>
      <c r="N429" s="79"/>
      <c r="O429" s="79"/>
      <c r="P429" s="79"/>
      <c r="Q429" s="77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</row>
    <row r="430" spans="1:29" ht="13.2" x14ac:dyDescent="0.25">
      <c r="A430" s="137" t="s">
        <v>416</v>
      </c>
      <c r="B430" s="106">
        <v>306</v>
      </c>
      <c r="C430" s="88">
        <f>52642.6/1000</f>
        <v>52.642600000000002</v>
      </c>
      <c r="D430" s="96">
        <f ca="1">IFERROR(__xludf.DUMMYFUNCTION("$C424*IMPORTRANGE(""https://docs.google.com/spreadsheets/d/1xsp01RMmkav9iTy39Zaj_7tE9677EGlOJ14KU9TZn7I/"",""2004-2017!H3672"")"),47.93635156)</f>
        <v>47.936351559999999</v>
      </c>
      <c r="E430" s="96">
        <f ca="1">IFERROR(__xludf.DUMMYFUNCTION("$C424*IMPORTRANGE(""https://docs.google.com/spreadsheets/d/1xsp01RMmkav9iTy39Zaj_7tE9677EGlOJ14KU9TZn7I/"",""2004-2017!T3672"")"),40.70852258)</f>
        <v>40.70852258</v>
      </c>
      <c r="F430" s="96">
        <f ca="1">IFERROR(__xludf.DUMMYFUNCTION("$C424*IMPORTRANGE(""https://docs.google.com/spreadsheets/d/1xsp01RMmkav9iTy39Zaj_7tE9677EGlOJ14KU9TZn7I/"",""2004-2017!AC3672"")"),5893.7076208426)</f>
        <v>5893.7076208425997</v>
      </c>
      <c r="G430" s="126" t="s">
        <v>8</v>
      </c>
      <c r="H430" s="80"/>
      <c r="I430" s="80"/>
      <c r="J430" s="80"/>
      <c r="K430" s="77"/>
      <c r="L430" s="78"/>
      <c r="M430" s="79"/>
      <c r="N430" s="79"/>
      <c r="O430" s="79"/>
      <c r="P430" s="79"/>
      <c r="Q430" s="77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</row>
    <row r="431" spans="1:29" ht="13.2" x14ac:dyDescent="0.25">
      <c r="A431" s="136" t="s">
        <v>417</v>
      </c>
      <c r="B431" s="107">
        <v>336</v>
      </c>
      <c r="C431" s="98">
        <f>52508.9/1000</f>
        <v>52.508900000000004</v>
      </c>
      <c r="D431" s="99">
        <f ca="1">IFERROR(__xludf.DUMMYFUNCTION("$C425*IMPORTRANGE(""https://docs.google.com/spreadsheets/d/1xsp01RMmkav9iTy39Zaj_7tE9677EGlOJ14KU9TZn7I/"",""2004-2017!H3695"")"),46.8471278575)</f>
        <v>46.847127857499999</v>
      </c>
      <c r="E431" s="99">
        <f ca="1">IFERROR(__xludf.DUMMYFUNCTION("$C425*IMPORTRANGE(""https://docs.google.com/spreadsheets/d/1xsp01RMmkav9iTy39Zaj_7tE9677EGlOJ14KU9TZn7I/"",""2004-2017!T3695"")"),41.162776888)</f>
        <v>41.162776888000003</v>
      </c>
      <c r="F431" s="99">
        <f ca="1">IFERROR(__xludf.DUMMYFUNCTION("$C425*IMPORTRANGE(""https://docs.google.com/spreadsheets/d/1xsp01RMmkav9iTy39Zaj_7tE9677EGlOJ14KU9TZn7I/"",""2004-2017!AC3695"")"),5826.02011297225)</f>
        <v>5826.02011297225</v>
      </c>
      <c r="G431" s="128" t="s">
        <v>8</v>
      </c>
      <c r="H431" s="80"/>
      <c r="I431" s="80"/>
      <c r="J431" s="80"/>
      <c r="K431" s="77"/>
      <c r="L431" s="78"/>
      <c r="M431" s="79"/>
      <c r="N431" s="79"/>
      <c r="O431" s="79"/>
      <c r="P431" s="79"/>
      <c r="Q431" s="77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</row>
    <row r="432" spans="1:29" ht="13.2" x14ac:dyDescent="0.25">
      <c r="A432" s="137" t="s">
        <v>418</v>
      </c>
      <c r="B432" s="106">
        <v>310</v>
      </c>
      <c r="C432" s="88">
        <f>35203.7/1000</f>
        <v>35.203699999999998</v>
      </c>
      <c r="D432" s="96">
        <f ca="1">IFERROR(__xludf.DUMMYFUNCTION("$C426*IMPORTRANGE(""https://docs.google.com/spreadsheets/d/1xsp01RMmkav9iTy39Zaj_7tE9677EGlOJ14KU9TZn7I/"",""2004-2017!H3717"")"),30.678968439)</f>
        <v>30.678968438999998</v>
      </c>
      <c r="E432" s="96">
        <f ca="1">IFERROR(__xludf.DUMMYFUNCTION("$C426*IMPORTRANGE(""https://docs.google.com/spreadsheets/d/1xsp01RMmkav9iTy39Zaj_7tE9677EGlOJ14KU9TZn7I/"",""2004-2017!T3717"")"),27.0577398384999)</f>
        <v>27.057739838499899</v>
      </c>
      <c r="F432" s="96">
        <f ca="1">IFERROR(__xludf.DUMMYFUNCTION("$C426*IMPORTRANGE(""https://docs.google.com/spreadsheets/d/1xsp01RMmkav9iTy39Zaj_7tE9677EGlOJ14KU9TZn7I/"",""2004-2017!AC3717"")"),3954.41408955739)</f>
        <v>3954.4140895573901</v>
      </c>
      <c r="G432" s="126" t="s">
        <v>8</v>
      </c>
      <c r="H432" s="80"/>
      <c r="I432" s="80"/>
      <c r="J432" s="80"/>
      <c r="K432" s="77"/>
      <c r="L432" s="78"/>
      <c r="M432" s="79"/>
      <c r="N432" s="79"/>
      <c r="O432" s="79"/>
      <c r="P432" s="79"/>
      <c r="Q432" s="77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</row>
    <row r="433" spans="1:29" ht="13.2" x14ac:dyDescent="0.25">
      <c r="A433" s="136" t="s">
        <v>419</v>
      </c>
      <c r="B433" s="107">
        <v>304</v>
      </c>
      <c r="C433" s="98">
        <f>39208.8/1000</f>
        <v>39.208800000000004</v>
      </c>
      <c r="D433" s="99">
        <f ca="1">IFERROR(__xludf.DUMMYFUNCTION("$C427*IMPORTRANGE(""https://docs.google.com/spreadsheets/d/1xsp01RMmkav9iTy39Zaj_7tE9677EGlOJ14KU9TZn7I/"",""2004-2017!H3741"")"),33.22161624)</f>
        <v>33.221616240000003</v>
      </c>
      <c r="E433" s="99">
        <f ca="1">IFERROR(__xludf.DUMMYFUNCTION("$C427*IMPORTRANGE(""https://docs.google.com/spreadsheets/d/1xsp01RMmkav9iTy39Zaj_7tE9677EGlOJ14KU9TZn7I/"",""2004-2017!T3741"")"),30.330751416)</f>
        <v>30.330751415999998</v>
      </c>
      <c r="F433" s="99">
        <f ca="1">IFERROR(__xludf.DUMMYFUNCTION("$C427*IMPORTRANGE(""https://docs.google.com/spreadsheets/d/1xsp01RMmkav9iTy39Zaj_7tE9677EGlOJ14KU9TZn7I/"",""2004-2017!AC3741"")"),4309.0471984176)</f>
        <v>4309.0471984176002</v>
      </c>
      <c r="G433" s="128" t="s">
        <v>8</v>
      </c>
      <c r="H433" s="80"/>
      <c r="I433" s="80"/>
      <c r="J433" s="80"/>
      <c r="K433" s="77"/>
      <c r="L433" s="78"/>
      <c r="M433" s="79"/>
      <c r="N433" s="79"/>
      <c r="O433" s="79"/>
      <c r="P433" s="79"/>
      <c r="Q433" s="77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</row>
    <row r="434" spans="1:29" ht="13.2" x14ac:dyDescent="0.25">
      <c r="A434" s="137" t="s">
        <v>420</v>
      </c>
      <c r="B434" s="106">
        <v>323</v>
      </c>
      <c r="C434" s="88">
        <f>38340.2/1000</f>
        <v>38.340199999999996</v>
      </c>
      <c r="D434" s="96">
        <f ca="1">IFERROR(__xludf.DUMMYFUNCTION("$C428*IMPORTRANGE(""https://docs.google.com/spreadsheets/d/1xsp01RMmkav9iTy39Zaj_7tE9677EGlOJ14KU9TZn7I/"",""2004-2017!H3763"")"),32.153625328)</f>
        <v>32.153625327999997</v>
      </c>
      <c r="E434" s="96">
        <f ca="1">IFERROR(__xludf.DUMMYFUNCTION("$C428*IMPORTRANGE(""https://docs.google.com/spreadsheets/d/1xsp01RMmkav9iTy39Zaj_7tE9677EGlOJ14KU9TZn7I/"",""2004-2017!T3763"")"),28.614441466)</f>
        <v>28.614441465999999</v>
      </c>
      <c r="F434" s="96">
        <f ca="1">IFERROR(__xludf.DUMMYFUNCTION("$C428*IMPORTRANGE(""https://docs.google.com/spreadsheets/d/1xsp01RMmkav9iTy39Zaj_7tE9677EGlOJ14KU9TZn7I/"",""2004-2017!AC3763"")"),4237.1671646598)</f>
        <v>4237.1671646597997</v>
      </c>
      <c r="G434" s="126" t="s">
        <v>8</v>
      </c>
      <c r="H434" s="80"/>
      <c r="I434" s="80"/>
      <c r="J434" s="80"/>
      <c r="K434" s="77"/>
      <c r="L434" s="78"/>
      <c r="M434" s="79"/>
      <c r="N434" s="79"/>
      <c r="O434" s="79"/>
      <c r="P434" s="79"/>
      <c r="Q434" s="77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</row>
    <row r="435" spans="1:29" ht="13.2" x14ac:dyDescent="0.25">
      <c r="A435" s="136" t="s">
        <v>421</v>
      </c>
      <c r="B435" s="107">
        <v>318</v>
      </c>
      <c r="C435" s="98">
        <f>72271.7/1000</f>
        <v>72.271699999999996</v>
      </c>
      <c r="D435" s="99">
        <f ca="1">IFERROR(__xludf.DUMMYFUNCTION("$C429*IMPORTRANGE(""https://docs.google.com/spreadsheets/d/1xsp01RMmkav9iTy39Zaj_7tE9677EGlOJ14KU9TZn7I/"",""2004-2017!H3786"")"),61.4602150385)</f>
        <v>61.460215038500003</v>
      </c>
      <c r="E435" s="99">
        <f ca="1">IFERROR(__xludf.DUMMYFUNCTION("$C429*IMPORTRANGE(""https://docs.google.com/spreadsheets/d/1xsp01RMmkav9iTy39Zaj_7tE9677EGlOJ14KU9TZn7I/"",""2004-2017!T3786"")"),54.7024497299999)</f>
        <v>54.702449729999898</v>
      </c>
      <c r="F435" s="99">
        <f ca="1">IFERROR(__xludf.DUMMYFUNCTION("$C429*IMPORTRANGE(""https://docs.google.com/spreadsheets/d/1xsp01RMmkav9iTy39Zaj_7tE9677EGlOJ14KU9TZn7I/"",""2004-2017!AC3786"")"),8150.22411626414)</f>
        <v>8150.2241162641403</v>
      </c>
      <c r="G435" s="128" t="s">
        <v>8</v>
      </c>
      <c r="H435" s="80"/>
      <c r="I435" s="80"/>
      <c r="J435" s="80"/>
      <c r="K435" s="77"/>
      <c r="L435" s="78"/>
      <c r="M435" s="79"/>
      <c r="N435" s="79"/>
      <c r="O435" s="79"/>
      <c r="P435" s="79"/>
      <c r="Q435" s="77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</row>
    <row r="436" spans="1:29" ht="13.2" x14ac:dyDescent="0.25">
      <c r="A436" s="137" t="s">
        <v>422</v>
      </c>
      <c r="B436" s="106">
        <v>312</v>
      </c>
      <c r="C436" s="88">
        <f>31645.5/1000</f>
        <v>31.645499999999998</v>
      </c>
      <c r="D436" s="96">
        <f ca="1">IFERROR(__xludf.DUMMYFUNCTION("$C430*IMPORTRANGE(""https://docs.google.com/spreadsheets/d/1xsp01RMmkav9iTy39Zaj_7tE9677EGlOJ14KU9TZn7I/"",""2004-2017!H3809"")"),26.97399129)</f>
        <v>26.973991290000001</v>
      </c>
      <c r="E436" s="96">
        <f ca="1">IFERROR(__xludf.DUMMYFUNCTION("$C430*IMPORTRANGE(""https://docs.google.com/spreadsheets/d/1xsp01RMmkav9iTy39Zaj_7tE9677EGlOJ14KU9TZn7I/"",""2004-2017!T3809"")"),23.9689346099999)</f>
        <v>23.968934609999899</v>
      </c>
      <c r="F436" s="96">
        <f ca="1">IFERROR(__xludf.DUMMYFUNCTION("$C430*IMPORTRANGE(""https://docs.google.com/spreadsheets/d/1xsp01RMmkav9iTy39Zaj_7tE9677EGlOJ14KU9TZn7I/"",""2004-2017!AC3809"")"),3587.8085625)</f>
        <v>3587.8085624999999</v>
      </c>
      <c r="G436" s="126" t="s">
        <v>8</v>
      </c>
      <c r="H436" s="80"/>
      <c r="I436" s="80"/>
      <c r="J436" s="80"/>
      <c r="K436" s="77"/>
      <c r="L436" s="78"/>
      <c r="M436" s="79"/>
      <c r="N436" s="79"/>
      <c r="O436" s="79"/>
      <c r="P436" s="79"/>
      <c r="Q436" s="77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</row>
    <row r="437" spans="1:29" ht="13.2" x14ac:dyDescent="0.25">
      <c r="A437" s="138" t="s">
        <v>423</v>
      </c>
      <c r="B437" s="108">
        <v>363</v>
      </c>
      <c r="C437" s="101">
        <f>38171.4/1000</f>
        <v>38.171399999999998</v>
      </c>
      <c r="D437" s="102">
        <f ca="1">IFERROR(__xludf.DUMMYFUNCTION("$C431*IMPORTRANGE(""https://docs.google.com/spreadsheets/d/1xsp01RMmkav9iTy39Zaj_7tE9677EGlOJ14KU9TZn7I/"",""2004-2017!H3831"")"),32.2357473)</f>
        <v>32.2357473</v>
      </c>
      <c r="E437" s="102">
        <f ca="1">IFERROR(__xludf.DUMMYFUNCTION("$C431*IMPORTRANGE(""https://docs.google.com/spreadsheets/d/1xsp01RMmkav9iTy39Zaj_7tE9677EGlOJ14KU9TZn7I/"",""2004-2017!T3831"")"),28.5029660939999)</f>
        <v>28.502966093999898</v>
      </c>
      <c r="F437" s="102">
        <f ca="1">IFERROR(__xludf.DUMMYFUNCTION("$C431*IMPORTRANGE(""https://docs.google.com/spreadsheets/d/1xsp01RMmkav9iTy39Zaj_7tE9677EGlOJ14KU9TZn7I/"",""2004-2017!AC3831"")"),4312.7193625428)</f>
        <v>4312.7193625427999</v>
      </c>
      <c r="G437" s="129" t="s">
        <v>8</v>
      </c>
      <c r="H437" s="80"/>
      <c r="I437" s="80"/>
      <c r="J437" s="80"/>
      <c r="K437" s="77"/>
      <c r="L437" s="78"/>
      <c r="M437" s="79"/>
      <c r="N437" s="79"/>
      <c r="O437" s="79"/>
      <c r="P437" s="79"/>
      <c r="Q437" s="77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</row>
    <row r="438" spans="1:29" ht="13.2" x14ac:dyDescent="0.25">
      <c r="A438" s="120">
        <v>2018</v>
      </c>
      <c r="B438" s="121"/>
      <c r="C438" s="139"/>
      <c r="D438" s="139"/>
      <c r="E438" s="139"/>
      <c r="F438" s="139"/>
      <c r="G438" s="123"/>
      <c r="H438" s="80"/>
      <c r="I438" s="80"/>
      <c r="J438" s="80"/>
      <c r="K438" s="77"/>
      <c r="L438" s="78"/>
      <c r="M438" s="79"/>
      <c r="N438" s="79" t="s">
        <v>424</v>
      </c>
      <c r="O438" s="79"/>
      <c r="P438" s="79"/>
      <c r="Q438" s="77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</row>
    <row r="439" spans="1:29" ht="13.2" x14ac:dyDescent="0.25">
      <c r="A439" s="140">
        <v>43118</v>
      </c>
      <c r="B439" s="105">
        <v>309</v>
      </c>
      <c r="C439" s="85">
        <f>21453.2/1000</f>
        <v>21.453200000000002</v>
      </c>
      <c r="D439" s="109">
        <f ca="1">IFERROR(__xludf.DUMMYFUNCTION("C433*IMPORTRANGE(""https://docs.google.com/spreadsheets/d/1xsp01RMmkav9iTy39Zaj_7tE9677EGlOJ14KU9TZn7I"",""H25"")"),17.595700108)</f>
        <v>17.595700107999999</v>
      </c>
      <c r="E439" s="109">
        <f ca="1">IFERROR(__xludf.DUMMYFUNCTION("C433*IMPORTRANGE(""https://docs.google.com/spreadsheets/d/1xsp01RMmkav9iTy39Zaj_7tE9677EGlOJ14KU9TZn7I/"",""T25"")"),15.547777636)</f>
        <v>15.547777635999999</v>
      </c>
      <c r="F439" s="109">
        <f ca="1">IFERROR(__xludf.DUMMYFUNCTION("C433*IMPORTRANGE(""https://docs.google.com/spreadsheets/d/1xsp01RMmkav9iTy39Zaj_7tE9677EGlOJ14KU9TZn7I"",""AC25"")"),2383.45052)</f>
        <v>2383.4505199999999</v>
      </c>
      <c r="G439" s="124" t="s">
        <v>8</v>
      </c>
      <c r="H439" s="80"/>
      <c r="I439" s="80"/>
      <c r="J439" s="80"/>
      <c r="K439" s="81"/>
      <c r="L439" s="78"/>
      <c r="M439" s="79"/>
      <c r="N439" s="79"/>
      <c r="O439" s="79"/>
      <c r="P439" s="79"/>
      <c r="Q439" s="77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</row>
    <row r="440" spans="1:29" ht="13.2" x14ac:dyDescent="0.25">
      <c r="A440" s="141">
        <v>44975</v>
      </c>
      <c r="B440" s="107">
        <v>290</v>
      </c>
      <c r="C440" s="98">
        <f>35676.9/1000</f>
        <v>35.676900000000003</v>
      </c>
      <c r="D440" s="111">
        <f ca="1">IFERROR(__xludf.DUMMYFUNCTION("C434*IMPORTRANGE(""https://docs.google.com/spreadsheets/d/1xsp01RMmkav9iTy39Zaj_7tE9677EGlOJ14KU9TZn7I"",""H46"")"),28.9009647675)</f>
        <v>28.9009647675</v>
      </c>
      <c r="E440" s="111">
        <f ca="1">IFERROR(__xludf.DUMMYFUNCTION("C434*IMPORTRANGE(""https://docs.google.com/spreadsheets/d/1xsp01RMmkav9iTy39Zaj_7tE9677EGlOJ14KU9TZn7I"",""T46"")"),25.55179578)</f>
        <v>25.551795779999999</v>
      </c>
      <c r="F440" s="111">
        <f ca="1">IFERROR(__xludf.DUMMYFUNCTION("C434*IMPORTRANGE(""https://docs.google.com/spreadsheets/d/1xsp01RMmkav9iTy39Zaj_7tE9677EGlOJ14KU9TZn7I"",""AC46"")"),3840.95721555)</f>
        <v>3840.95721555</v>
      </c>
      <c r="G440" s="128" t="s">
        <v>8</v>
      </c>
      <c r="H440" s="80"/>
      <c r="I440" s="76"/>
      <c r="J440" s="80"/>
      <c r="K440" s="81"/>
      <c r="L440" s="78"/>
      <c r="M440" s="79"/>
      <c r="N440" s="79"/>
      <c r="O440" s="79"/>
      <c r="P440" s="79"/>
      <c r="Q440" s="77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</row>
    <row r="441" spans="1:29" ht="13.2" x14ac:dyDescent="0.25">
      <c r="A441" s="142">
        <v>45003</v>
      </c>
      <c r="B441" s="106">
        <v>355</v>
      </c>
      <c r="C441" s="88">
        <f>51493/1000</f>
        <v>51.493000000000002</v>
      </c>
      <c r="D441" s="110">
        <f ca="1">IFERROR(__xludf.DUMMYFUNCTION("C435*IMPORTRANGE(""https://docs.google.com/spreadsheets/d/1xsp01RMmkav9iTy39Zaj_7tE9677EGlOJ14KU9TZn7I"",""H69"")"),41.75979314)</f>
        <v>41.759793139999999</v>
      </c>
      <c r="E441" s="110">
        <f ca="1">IFERROR(__xludf.DUMMYFUNCTION("C435*IMPORTRANGE(""https://docs.google.com/spreadsheets/d/1xsp01RMmkav9iTy39Zaj_7tE9677EGlOJ14KU9TZn7I"",""T69"")"),36.89267478)</f>
        <v>36.89267478</v>
      </c>
      <c r="F441" s="110">
        <f ca="1">IFERROR(__xludf.DUMMYFUNCTION("C435*IMPORTRANGE(""https://docs.google.com/spreadsheets/d/1xsp01RMmkav9iTy39Zaj_7tE9677EGlOJ14KU9TZn7I"",""AC69"")"),5467.2435285)</f>
        <v>5467.2435285000001</v>
      </c>
      <c r="G441" s="126" t="s">
        <v>8</v>
      </c>
      <c r="H441" s="80"/>
      <c r="I441" s="80"/>
      <c r="J441" s="80"/>
      <c r="K441" s="81"/>
      <c r="L441" s="78"/>
      <c r="M441" s="79"/>
      <c r="N441" s="79"/>
      <c r="O441" s="79"/>
      <c r="P441" s="79"/>
      <c r="Q441" s="77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</row>
    <row r="442" spans="1:29" ht="13.2" x14ac:dyDescent="0.25">
      <c r="A442" s="141">
        <v>45034</v>
      </c>
      <c r="B442" s="107">
        <v>273</v>
      </c>
      <c r="C442" s="98">
        <f>27668.4/1000</f>
        <v>27.668400000000002</v>
      </c>
      <c r="D442" s="111">
        <f ca="1">IFERROR(__xludf.DUMMYFUNCTION("C436*IMPORTRANGE(""https://docs.google.com/spreadsheets/d/1xsp01RMmkav9iTy39Zaj_7tE9677EGlOJ14KU9TZn7I"",""H91"")"),22.507966716)</f>
        <v>22.507966715999999</v>
      </c>
      <c r="E442" s="111">
        <f ca="1">IFERROR(__xludf.DUMMYFUNCTION("C436*IMPORTRANGE(""https://docs.google.com/spreadsheets/d/1xsp01RMmkav9iTy39Zaj_7tE9677EGlOJ14KU9TZn7I"",""T91"")"),19.64179716)</f>
        <v>19.641797159999999</v>
      </c>
      <c r="F442" s="111">
        <f ca="1">IFERROR(__xludf.DUMMYFUNCTION("C436*IMPORTRANGE(""https://docs.google.com/spreadsheets/d/1xsp01RMmkav9iTy39Zaj_7tE9677EGlOJ14KU9TZn7I"",""AC91"")"),2963.6453292)</f>
        <v>2963.6453292000001</v>
      </c>
      <c r="G442" s="128" t="s">
        <v>8</v>
      </c>
      <c r="H442" s="80"/>
      <c r="I442" s="80"/>
      <c r="J442" s="80"/>
      <c r="K442" s="81"/>
      <c r="L442" s="78"/>
      <c r="M442" s="79"/>
      <c r="N442" s="79"/>
      <c r="O442" s="79"/>
      <c r="P442" s="79"/>
      <c r="Q442" s="77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</row>
    <row r="443" spans="1:29" ht="13.2" x14ac:dyDescent="0.25">
      <c r="A443" s="142">
        <v>45064</v>
      </c>
      <c r="B443" s="106">
        <v>283</v>
      </c>
      <c r="C443" s="88">
        <f>101858/1000</f>
        <v>101.858</v>
      </c>
      <c r="D443" s="110">
        <f ca="1">IFERROR(__xludf.DUMMYFUNCTION("C437*IMPORTRANGE(""https://docs.google.com/spreadsheets/d/1xsp01RMmkav9iTy39Zaj_7tE9677EGlOJ14KU9TZn7I/"",""H115"")"),86.16779368)</f>
        <v>86.167793680000003</v>
      </c>
      <c r="E443" s="110">
        <f ca="1">IFERROR(__xludf.DUMMYFUNCTION("C437*IMPORTRANGE(""https://docs.google.com/spreadsheets/d/1xsp01RMmkav9iTy39Zaj_7tE9677EGlOJ14KU9TZn7I"",""T115"")"),75.31991668)</f>
        <v>75.319916680000006</v>
      </c>
      <c r="F443" s="110">
        <f ca="1">IFERROR(__xludf.DUMMYFUNCTION("C437*IMPORTRANGE(""https://docs.google.com/spreadsheets/d/1xsp01RMmkav9iTy39Zaj_7tE9677EGlOJ14KU9TZn7I"",""AC115"")"),11165.979534)</f>
        <v>11165.979534</v>
      </c>
      <c r="G443" s="126" t="s">
        <v>8</v>
      </c>
      <c r="H443" s="80"/>
      <c r="I443" s="80"/>
      <c r="J443" s="80"/>
      <c r="K443" s="81"/>
      <c r="L443" s="78"/>
      <c r="M443" s="79"/>
      <c r="N443" s="79"/>
      <c r="O443" s="79"/>
      <c r="P443" s="79"/>
      <c r="Q443" s="77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</row>
    <row r="444" spans="1:29" ht="13.2" x14ac:dyDescent="0.25">
      <c r="A444" s="141">
        <v>45095</v>
      </c>
      <c r="B444" s="107">
        <v>281</v>
      </c>
      <c r="C444" s="98">
        <f>38195.4/1000</f>
        <v>38.195399999999999</v>
      </c>
      <c r="D444" s="111">
        <f ca="1">IFERROR(__xludf.DUMMYFUNCTION("C438*IMPORTRANGE(""https://docs.google.com/spreadsheets/d/1xsp01RMmkav9iTy39Zaj_7tE9677EGlOJ14KU9TZn7I/"",""H137"")"),32.7334578)</f>
        <v>32.733457799999996</v>
      </c>
      <c r="E444" s="111">
        <f ca="1">IFERROR(__xludf.DUMMYFUNCTION("C438*IMPORTRANGE(""https://docs.google.com/spreadsheets/d/1xsp01RMmkav9iTy39Zaj_7tE9677EGlOJ14KU9TZn7I"",""T137"")"),28.7649557399999)</f>
        <v>28.764955739999898</v>
      </c>
      <c r="F444" s="111">
        <f ca="1">IFERROR(__xludf.DUMMYFUNCTION("C438*IMPORTRANGE(""https://docs.google.com/spreadsheets/d/1xsp01RMmkav9iTy39Zaj_7tE9677EGlOJ14KU9TZn7I"",""AC137"")"),4205.1989538)</f>
        <v>4205.1989537999998</v>
      </c>
      <c r="G444" s="128" t="s">
        <v>8</v>
      </c>
      <c r="H444" s="80"/>
      <c r="I444" s="80"/>
      <c r="J444" s="80"/>
      <c r="K444" s="81"/>
      <c r="L444" s="78"/>
      <c r="M444" s="79"/>
      <c r="N444" s="79"/>
      <c r="O444" s="79"/>
      <c r="P444" s="79"/>
      <c r="Q444" s="77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</row>
    <row r="445" spans="1:29" ht="13.2" x14ac:dyDescent="0.25">
      <c r="A445" s="142">
        <v>45125</v>
      </c>
      <c r="B445" s="106">
        <v>279</v>
      </c>
      <c r="C445" s="88">
        <f>38007.7/1000</f>
        <v>38.0077</v>
      </c>
      <c r="D445" s="110">
        <f ca="1">IFERROR(__xludf.DUMMYFUNCTION("C439*IMPORTRANGE(""https://docs.google.com/spreadsheets/d/1xsp01RMmkav9iTy39Zaj_7tE9677EGlOJ14KU9TZn7I/)"",""H160"")"),32.5440931249999)</f>
        <v>32.544093124999897</v>
      </c>
      <c r="E445" s="110">
        <f ca="1">IFERROR(__xludf.DUMMYFUNCTION("C439*IMPORTRANGE(""https://docs.google.com/spreadsheets/d/1xsp01RMmkav9iTy39Zaj_7tE9677EGlOJ14KU9TZn7I"",""T160"")"),28.8212389099999)</f>
        <v>28.821238909999899</v>
      </c>
      <c r="F445" s="110">
        <f ca="1">IFERROR(__xludf.DUMMYFUNCTION("C439*IMPORTRANGE(""https://docs.google.com/spreadsheets/d/1xsp01RMmkav9iTy39Zaj_7tE9677EGlOJ14KU9TZn7I"",""AC160"")"),4219.74788095)</f>
        <v>4219.7478809499999</v>
      </c>
      <c r="G445" s="126" t="s">
        <v>8</v>
      </c>
      <c r="H445" s="80"/>
      <c r="I445" s="80"/>
      <c r="J445" s="80"/>
      <c r="K445" s="81"/>
      <c r="L445" s="78"/>
      <c r="M445" s="79"/>
      <c r="N445" s="79"/>
      <c r="O445" s="79"/>
      <c r="P445" s="79"/>
      <c r="Q445" s="77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</row>
    <row r="446" spans="1:29" ht="13.2" x14ac:dyDescent="0.25">
      <c r="A446" s="141">
        <v>45156</v>
      </c>
      <c r="B446" s="107">
        <v>288</v>
      </c>
      <c r="C446" s="98">
        <f>23794.1/1000</f>
        <v>23.7941</v>
      </c>
      <c r="D446" s="111">
        <f ca="1">IFERROR(__xludf.DUMMYFUNCTION("C440*IMPORTRANGE(""https://docs.google.com/spreadsheets/d/1xsp01RMmkav9iTy39Zaj_7tE9677EGlOJ14KU9TZn7I/"",""H184"")"),20.55334358)</f>
        <v>20.55334358</v>
      </c>
      <c r="E446" s="111">
        <f ca="1">IFERROR(__xludf.DUMMYFUNCTION("C440*IMPORTRANGE(""https://docs.google.com/spreadsheets/d/1xsp01RMmkav9iTy39Zaj_7tE9677EGlOJ14KU9TZn7I"", ""T184"")"),18.47135983)</f>
        <v>18.471359830000001</v>
      </c>
      <c r="F446" s="111">
        <f ca="1">IFERROR(__xludf.DUMMYFUNCTION("C440*IMPORTRANGE(""https://docs.google.com/spreadsheets/d/1xsp01RMmkav9iTy39Zaj_7tE9677EGlOJ14KU9TZn7I"",""AC184"")"),2644.4048917)</f>
        <v>2644.4048917</v>
      </c>
      <c r="G446" s="128" t="s">
        <v>8</v>
      </c>
      <c r="H446" s="80"/>
      <c r="I446" s="80"/>
      <c r="J446" s="80"/>
      <c r="K446" s="81"/>
      <c r="L446" s="78"/>
      <c r="M446" s="79"/>
      <c r="N446" s="79"/>
      <c r="O446" s="79"/>
      <c r="P446" s="79"/>
      <c r="Q446" s="77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</row>
    <row r="447" spans="1:29" ht="13.2" x14ac:dyDescent="0.25">
      <c r="A447" s="142">
        <v>45187</v>
      </c>
      <c r="B447" s="106">
        <v>262</v>
      </c>
      <c r="C447" s="88">
        <f>25392.2/1000</f>
        <v>25.392199999999999</v>
      </c>
      <c r="D447" s="110">
        <f ca="1">IFERROR(__xludf.DUMMYFUNCTION("C441*IMPORTRANGE(""https://docs.google.com/spreadsheets/d/1xsp01RMmkav9iTy39Zaj_7tE9677EGlOJ14KU9TZn7I/|"",""H205"")"),21.821548836)</f>
        <v>21.821548836000002</v>
      </c>
      <c r="E447" s="110">
        <f ca="1">IFERROR(__xludf.DUMMYFUNCTION("C441*IMPORTRANGE(""https://docs.google.com/spreadsheets/d/1xsp01RMmkav9iTy39Zaj_7tE9677EGlOJ14KU9TZn7I"", ""T205"")"),19.418938872)</f>
        <v>19.418938871999998</v>
      </c>
      <c r="F447" s="110">
        <f ca="1">IFERROR(__xludf.DUMMYFUNCTION("C441*IMPORTRANGE(""https://docs.google.com/spreadsheets/d/1xsp01RMmkav9iTy39Zaj_7tE9677EGlOJ14KU9TZn7I"",""AC205"")"),2839.3938923)</f>
        <v>2839.3938923000001</v>
      </c>
      <c r="G447" s="126" t="s">
        <v>8</v>
      </c>
      <c r="H447" s="80"/>
      <c r="I447" s="80"/>
      <c r="J447" s="80"/>
      <c r="K447" s="81"/>
      <c r="L447" s="78"/>
      <c r="M447" s="79"/>
      <c r="N447" s="79"/>
      <c r="O447" s="79"/>
      <c r="P447" s="79"/>
      <c r="Q447" s="77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</row>
    <row r="448" spans="1:29" ht="13.2" x14ac:dyDescent="0.25">
      <c r="A448" s="141">
        <v>45217</v>
      </c>
      <c r="B448" s="107">
        <v>312</v>
      </c>
      <c r="C448" s="98">
        <f>48271.6/1000</f>
        <v>48.271599999999999</v>
      </c>
      <c r="D448" s="111">
        <f ca="1">IFERROR(__xludf.DUMMYFUNCTION("C442*IMPORTRANGE(""https://docs.google.com/spreadsheets/d/1xsp01RMmkav9iTy39Zaj_7tE9677EGlOJ14KU9TZn7I/"",""H229"")"),41.949951264)</f>
        <v>41.949951263999999</v>
      </c>
      <c r="E448" s="111">
        <f ca="1">IFERROR(__xludf.DUMMYFUNCTION("C442*IMPORTRANGE(""https://docs.google.com/spreadsheets/d/1xsp01RMmkav9iTy39Zaj_7tE9677EGlOJ14KU9TZn7I"",""T229"")"),37.00259498)</f>
        <v>37.002594979999998</v>
      </c>
      <c r="F448" s="111">
        <f ca="1">IFERROR(__xludf.DUMMYFUNCTION("C442*IMPORTRANGE(""https://docs.google.com/spreadsheets/d/1xsp01RMmkav9iTy39Zaj_7tE9677EGlOJ14KU9TZn7I"",""AC229"")"),5429.589568)</f>
        <v>5429.5895680000003</v>
      </c>
      <c r="G448" s="128" t="s">
        <v>8</v>
      </c>
      <c r="H448" s="80"/>
      <c r="I448" s="80"/>
      <c r="J448" s="80"/>
      <c r="K448" s="81"/>
      <c r="L448" s="78"/>
      <c r="M448" s="79"/>
      <c r="N448" s="79"/>
      <c r="O448" s="79"/>
      <c r="P448" s="79"/>
      <c r="Q448" s="77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</row>
    <row r="449" spans="1:29" ht="13.2" x14ac:dyDescent="0.25">
      <c r="A449" s="142">
        <v>45248</v>
      </c>
      <c r="B449" s="106">
        <v>276</v>
      </c>
      <c r="C449" s="88">
        <f>18066.7/1000</f>
        <v>18.066700000000001</v>
      </c>
      <c r="D449" s="110">
        <f ca="1">IFERROR(__xludf.DUMMYFUNCTION("C443*IMPORTRANGE(""https://docs.google.com/spreadsheets/d/1xsp01RMmkav9iTy39Zaj_7tE9677EGlOJ14KU9TZn7I/"",""H252"")"),15.889120649)</f>
        <v>15.889120649000001</v>
      </c>
      <c r="E449" s="110">
        <f ca="1">IFERROR(__xludf.DUMMYFUNCTION("C443*IMPORTRANGE(""https://docs.google.com/spreadsheets/d/1xsp01RMmkav9iTy39Zaj_7tE9677EGlOJ14KU9TZn7I"", ""T252"")"),14.0500209225)</f>
        <v>14.0500209225</v>
      </c>
      <c r="F449" s="110">
        <f ca="1">IFERROR(__xludf.DUMMYFUNCTION("C443*IMPORTRANGE(""https://docs.google.com/spreadsheets/d/1xsp01RMmkav9iTy39Zaj_7tE9677EGlOJ14KU9TZn7I"",""AC252"")"),2048.5289129)</f>
        <v>2048.5289128999998</v>
      </c>
      <c r="G449" s="126" t="s">
        <v>8</v>
      </c>
      <c r="H449" s="80"/>
      <c r="I449" s="80"/>
      <c r="J449" s="80"/>
      <c r="K449" s="81"/>
      <c r="L449" s="78"/>
      <c r="M449" s="79"/>
      <c r="N449" s="79"/>
      <c r="O449" s="79"/>
      <c r="P449" s="79"/>
      <c r="Q449" s="77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</row>
    <row r="450" spans="1:29" ht="13.2" x14ac:dyDescent="0.25">
      <c r="A450" s="143">
        <v>45278</v>
      </c>
      <c r="B450" s="108">
        <v>335</v>
      </c>
      <c r="C450" s="101">
        <f>36003.2/1000</f>
        <v>36.0032</v>
      </c>
      <c r="D450" s="112">
        <f ca="1">IFERROR(__xludf.DUMMYFUNCTION("C444*IMPORTRANGE(""https://docs.google.com/spreadsheets/d/1xsp01RMmkav9iTy39Zaj_7tE9677EGlOJ14KU9TZn7I/"",""H273"")"),31.657253728)</f>
        <v>31.657253728000001</v>
      </c>
      <c r="E450" s="112">
        <f ca="1">IFERROR(__xludf.DUMMYFUNCTION("C444*IMPORTRANGE(""https://docs.google.com/spreadsheets/d/1xsp01RMmkav9iTy39Zaj_7tE9677EGlOJ14KU9TZn7I"", ""T273"")"),28.44972864)</f>
        <v>28.44972864</v>
      </c>
      <c r="F450" s="112">
        <f ca="1">IFERROR(__xludf.DUMMYFUNCTION("C444*IMPORTRANGE(""https://docs.google.com/spreadsheets/d/1xsp01RMmkav9iTy39Zaj_7tE9677EGlOJ14KU9TZn7I"",""AC273"")"),4057.1646048)</f>
        <v>4057.1646047999998</v>
      </c>
      <c r="G450" s="129" t="s">
        <v>8</v>
      </c>
      <c r="H450" s="80"/>
      <c r="I450" s="80"/>
      <c r="J450" s="80"/>
      <c r="K450" s="81"/>
      <c r="L450" s="78"/>
      <c r="M450" s="79"/>
      <c r="N450" s="79"/>
      <c r="O450" s="79"/>
      <c r="P450" s="79"/>
      <c r="Q450" s="77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</row>
    <row r="451" spans="1:29" ht="13.2" x14ac:dyDescent="0.25">
      <c r="A451" s="120">
        <v>2019</v>
      </c>
      <c r="B451" s="121"/>
      <c r="C451" s="139"/>
      <c r="D451" s="139"/>
      <c r="E451" s="139"/>
      <c r="F451" s="139"/>
      <c r="G451" s="123"/>
      <c r="H451" s="80"/>
      <c r="I451" s="80"/>
      <c r="J451" s="80"/>
      <c r="K451" s="77"/>
      <c r="L451" s="78"/>
      <c r="M451" s="77"/>
      <c r="N451" s="79"/>
      <c r="O451" s="79"/>
      <c r="P451" s="79"/>
      <c r="Q451" s="77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</row>
    <row r="452" spans="1:29" ht="13.2" x14ac:dyDescent="0.25">
      <c r="A452" s="140">
        <v>43484</v>
      </c>
      <c r="B452" s="105">
        <v>270</v>
      </c>
      <c r="C452" s="85">
        <f>27234.6/1000</f>
        <v>27.234599999999997</v>
      </c>
      <c r="D452" s="109">
        <f ca="1">IFERROR(__xludf.DUMMYFUNCTION("C446*IMPORTRANGE(""https://docs.google.com/spreadsheets/d/1xsp01RMmkav9iTy39Zaj_7tE9677EGlOJ14KU9TZn7I/"",""H298"")"),23.8547861399999)</f>
        <v>23.854786139999899</v>
      </c>
      <c r="E452" s="109">
        <f ca="1">IFERROR(__xludf.DUMMYFUNCTION("C446*IMPORTRANGE(""https://docs.google.com/spreadsheets/d/1xsp01RMmkav9iTy39Zaj_7tE9677EGlOJ14KU9TZn7I"",""T298"")"),21.1577437019999)</f>
        <v>21.157743701999902</v>
      </c>
      <c r="F452" s="109">
        <f ca="1">IFERROR(__xludf.DUMMYFUNCTION("C446*IMPORTRANGE(""https://docs.google.com/spreadsheets/d/1xsp01RMmkav9iTy39Zaj_7tE9677EGlOJ14KU9TZn7I"",""AC298"")"),2969.57908019999)</f>
        <v>2969.5790801999901</v>
      </c>
      <c r="G452" s="124" t="s">
        <v>8</v>
      </c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</row>
    <row r="453" spans="1:29" ht="13.2" x14ac:dyDescent="0.25">
      <c r="A453" s="141">
        <v>43515</v>
      </c>
      <c r="B453" s="107">
        <v>266</v>
      </c>
      <c r="C453" s="98">
        <f>17013.2/1000</f>
        <v>17.013200000000001</v>
      </c>
      <c r="D453" s="111">
        <f ca="1">IFERROR(__xludf.DUMMYFUNCTION("C447*IMPORTRANGE(""https://docs.google.com/spreadsheets/d/1xsp01RMmkav9iTy39Zaj_7tE9677EGlOJ14KU9TZn7I"",""H319"")"),14.99883712)</f>
        <v>14.998837119999999</v>
      </c>
      <c r="E453" s="111">
        <f ca="1">IFERROR(__xludf.DUMMYFUNCTION("C447*IMPORTRANGE(""https://docs.google.com/spreadsheets/d/1xsp01RMmkav9iTy39Zaj_7tE9677EGlOJ14KU9TZn7I"",""T319"")"),13.093103522)</f>
        <v>13.093103522</v>
      </c>
      <c r="F453" s="111">
        <f ca="1">IFERROR(__xludf.DUMMYFUNCTION("C447*IMPORTRANGE(""https://docs.google.com/spreadsheets/d/1xsp01RMmkav9iTy39Zaj_7tE9677EGlOJ14KU9TZn7I"",""AC319"")"),1880.7582204)</f>
        <v>1880.7582204</v>
      </c>
      <c r="G453" s="128" t="s">
        <v>8</v>
      </c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</row>
    <row r="454" spans="1:29" ht="13.2" x14ac:dyDescent="0.25">
      <c r="A454" s="142">
        <v>43543</v>
      </c>
      <c r="B454" s="106">
        <v>294</v>
      </c>
      <c r="C454" s="88">
        <f>117863.3/1000</f>
        <v>117.86330000000001</v>
      </c>
      <c r="D454" s="110">
        <f ca="1">IFERROR(__xludf.DUMMYFUNCTION("C448*IMPORTRANGE(""https://docs.google.com/spreadsheets/d/1xsp01RMmkav9iTy39Zaj_7tE9677EGlOJ14KU9TZn7I"",""H341"")"),104.174656338)</f>
        <v>104.17465633800001</v>
      </c>
      <c r="E454" s="110">
        <f ca="1">IFERROR(__xludf.DUMMYFUNCTION("C448*IMPORTRANGE(""https://docs.google.com/spreadsheets/d/1xsp01RMmkav9iTy39Zaj_7tE9677EGlOJ14KU9TZn7I"",""T341"")"),89.24609076)</f>
        <v>89.246090760000001</v>
      </c>
      <c r="F454" s="110">
        <f ca="1">IFERROR(__xludf.DUMMYFUNCTION("C448*IMPORTRANGE(""https://docs.google.com/spreadsheets/d/1xsp01RMmkav9iTy39Zaj_7tE9677EGlOJ14KU9TZn7I"",""AC341"")"),13123.1355486)</f>
        <v>13123.135548599999</v>
      </c>
      <c r="G454" s="126" t="s">
        <v>8</v>
      </c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</row>
    <row r="455" spans="1:29" ht="13.2" x14ac:dyDescent="0.25">
      <c r="A455" s="141">
        <v>43574</v>
      </c>
      <c r="B455" s="107">
        <v>310</v>
      </c>
      <c r="C455" s="98">
        <f>85628/1000</f>
        <v>85.628</v>
      </c>
      <c r="D455" s="111">
        <f ca="1">IFERROR(__xludf.DUMMYFUNCTION("C449*IMPORTRANGE(""https://docs.google.com/spreadsheets/d/1xsp01RMmkav9iTy39Zaj_7tE9677EGlOJ14KU9TZn7I"",""H364"")"),76.17980648)</f>
        <v>76.179806479999996</v>
      </c>
      <c r="E455" s="111">
        <f ca="1">IFERROR(__xludf.DUMMYFUNCTION("C449*IMPORTRANGE(""https://docs.google.com/spreadsheets/d/1xsp01RMmkav9iTy39Zaj_7tE9677EGlOJ14KU9TZn7I"",""T364"")"),65.65141574)</f>
        <v>65.651415740000004</v>
      </c>
      <c r="F455" s="111">
        <f ca="1">IFERROR(__xludf.DUMMYFUNCTION("C449*IMPORTRANGE(""https://docs.google.com/spreadsheets/d/1xsp01RMmkav9iTy39Zaj_7tE9677EGlOJ14KU9TZn7I"",""AC364"")"),9561.86469)</f>
        <v>9561.8646900000003</v>
      </c>
      <c r="G455" s="128" t="s">
        <v>8</v>
      </c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</row>
    <row r="456" spans="1:29" ht="13.2" x14ac:dyDescent="0.25">
      <c r="A456" s="144">
        <v>43604</v>
      </c>
      <c r="B456" s="106">
        <v>241</v>
      </c>
      <c r="C456" s="88">
        <f>105081.9/1000</f>
        <v>105.08189999999999</v>
      </c>
      <c r="D456" s="110">
        <f ca="1">IFERROR(__xludf.DUMMYFUNCTION("C450*IMPORTRANGE(""https://docs.google.com/spreadsheets/d/1xsp01RMmkav9iTy39Zaj_7tE9677EGlOJ14KU9TZn7I"",""H388"")"),93.8864743739999)</f>
        <v>93.886474373999903</v>
      </c>
      <c r="E456" s="110">
        <f ca="1">IFERROR(__xludf.DUMMYFUNCTION("C450*IMPORTRANGE(""https://docs.google.com/spreadsheets/d/1xsp01RMmkav9iTy39Zaj_7tE9677EGlOJ14KU9TZn7I"",""T388"")"),81.604501902)</f>
        <v>81.604501901999996</v>
      </c>
      <c r="F456" s="110">
        <f ca="1">IFERROR(__xludf.DUMMYFUNCTION("C450*IMPORTRANGE(""https://docs.google.com/spreadsheets/d/1xsp01RMmkav9iTy39Zaj_7tE9677EGlOJ14KU9TZn7I"",""AC388"")"),11542.0908140999)</f>
        <v>11542.0908140999</v>
      </c>
      <c r="G456" s="126" t="s">
        <v>8</v>
      </c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</row>
    <row r="457" spans="1:29" ht="13.2" x14ac:dyDescent="0.25">
      <c r="A457" s="141">
        <v>43635</v>
      </c>
      <c r="B457" s="107">
        <v>245</v>
      </c>
      <c r="C457" s="98">
        <f>31056.3/1000</f>
        <v>31.0563</v>
      </c>
      <c r="D457" s="111">
        <f ca="1">IFERROR(__xludf.DUMMYFUNCTION("C451*IMPORTRANGE(""https://docs.google.com/spreadsheets/d/1xsp01RMmkav9iTy39Zaj_7tE9677EGlOJ14KU9TZn7I"",""H409"")"),27.5126208885)</f>
        <v>27.512620888499999</v>
      </c>
      <c r="E457" s="111">
        <f ca="1">IFERROR(__xludf.DUMMYFUNCTION("C451*IMPORTRANGE(""https://docs.google.com/spreadsheets/d/1xsp01RMmkav9iTy39Zaj_7tE9677EGlOJ14KU9TZn7I"",""T409"")"),24.4712774295)</f>
        <v>24.471277429499999</v>
      </c>
      <c r="F457" s="111">
        <f ca="1">IFERROR(__xludf.DUMMYFUNCTION("C451*IMPORTRANGE(""https://docs.google.com/spreadsheets/d/1xsp01RMmkav9iTy39Zaj_7tE9677EGlOJ14KU9TZn7I"",""AC409"")"),3363.00908624999)</f>
        <v>3363.0090862499901</v>
      </c>
      <c r="G457" s="128" t="s">
        <v>8</v>
      </c>
    </row>
    <row r="458" spans="1:29" ht="13.2" x14ac:dyDescent="0.25">
      <c r="A458" s="142">
        <v>43665</v>
      </c>
      <c r="B458" s="106">
        <v>255</v>
      </c>
      <c r="C458" s="88">
        <f>26088.8/1000</f>
        <v>26.088799999999999</v>
      </c>
      <c r="D458" s="110">
        <f ca="1">IFERROR(__xludf.DUMMYFUNCTION("C452*IMPORTRANGE(""https://docs.google.com/spreadsheets/d/1xsp01RMmkav9iTy39Zaj_7tE9677EGlOJ14KU9TZn7I"",""H433"")"),23.236772384)</f>
        <v>23.236772383999998</v>
      </c>
      <c r="E458" s="110">
        <f ca="1">IFERROR(__xludf.DUMMYFUNCTION("C452*IMPORTRANGE(""https://docs.google.com/spreadsheets/d/1xsp01RMmkav9iTy39Zaj_7tE9677EGlOJ14KU9TZn7I"",""T433"")"),20.849647184)</f>
        <v>20.849647183999998</v>
      </c>
      <c r="F458" s="110">
        <f ca="1">IFERROR(__xludf.DUMMYFUNCTION("C452*IMPORTRANGE(""https://docs.google.com/spreadsheets/d/1xsp01RMmkav9iTy39Zaj_7tE9677EGlOJ14KU9TZn7I"",""AC433"")"),2823.6430016)</f>
        <v>2823.6430015999999</v>
      </c>
      <c r="G458" s="126" t="s">
        <v>8</v>
      </c>
    </row>
    <row r="459" spans="1:29" ht="13.2" x14ac:dyDescent="0.25">
      <c r="A459" s="141">
        <v>43696</v>
      </c>
      <c r="B459" s="107">
        <v>269</v>
      </c>
      <c r="C459" s="98">
        <f>25936.1/1000</f>
        <v>25.9361</v>
      </c>
      <c r="D459" s="111">
        <f ca="1">IFERROR(__xludf.DUMMYFUNCTION("C453*IMPORTRANGE(""https://docs.google.com/spreadsheets/d/1xsp01RMmkav9iTy39Zaj_7tE9677EGlOJ14KU9TZn7I"",""H456"")"),23.3535128425)</f>
        <v>23.353512842499999</v>
      </c>
      <c r="E459" s="111">
        <f ca="1">IFERROR(__xludf.DUMMYFUNCTION("C453*IMPORTRANGE(""https://docs.google.com/spreadsheets/d/1xsp01RMmkav9iTy39Zaj_7tE9677EGlOJ14KU9TZn7I"",""T456"")"),21.3413902045)</f>
        <v>21.341390204500001</v>
      </c>
      <c r="F459" s="111">
        <f ca="1">IFERROR(__xludf.DUMMYFUNCTION("C453*IMPORTRANGE(""https://docs.google.com/spreadsheets/d/1xsp01RMmkav9iTy39Zaj_7tE9677EGlOJ14KU9TZn7I"",""AC456"")"),2754.34897975)</f>
        <v>2754.3489797500001</v>
      </c>
      <c r="G459" s="128" t="s">
        <v>8</v>
      </c>
    </row>
    <row r="460" spans="1:29" ht="13.2" x14ac:dyDescent="0.25">
      <c r="A460" s="142">
        <v>43727</v>
      </c>
      <c r="B460" s="106">
        <v>264</v>
      </c>
      <c r="C460" s="88">
        <f>13066.3/1000</f>
        <v>13.0663</v>
      </c>
      <c r="D460" s="110">
        <f ca="1">IFERROR(__xludf.DUMMYFUNCTION("C454*IMPORTRANGE(""https://docs.google.com/spreadsheets/d/1xsp01RMmkav9iTy39Zaj_7tE9677EGlOJ14KU9TZn7I"",""H478"")"),11.8579285759999)</f>
        <v>11.8579285759999</v>
      </c>
      <c r="E460" s="110">
        <f ca="1">IFERROR(__xludf.DUMMYFUNCTION("C454*IMPORTRANGE(""https://docs.google.com/spreadsheets/d/1xsp01RMmkav9iTy39Zaj_7tE9677EGlOJ14KU9TZn7I"",""T478"")"),10.583964326)</f>
        <v>10.583964326</v>
      </c>
      <c r="F460" s="110">
        <f ca="1">IFERROR(__xludf.DUMMYFUNCTION("C454*IMPORTRANGE(""https://docs.google.com/spreadsheets/d/1xsp01RMmkav9iTy39Zaj_7tE9677EGlOJ14KU9TZn7I"",""AC478"")"),1406.6133276)</f>
        <v>1406.6133276</v>
      </c>
      <c r="G460" s="126" t="s">
        <v>8</v>
      </c>
    </row>
    <row r="461" spans="1:29" ht="13.2" x14ac:dyDescent="0.25">
      <c r="A461" s="141">
        <v>44123</v>
      </c>
      <c r="B461" s="107">
        <v>269</v>
      </c>
      <c r="C461" s="98">
        <f>41356.8/1000</f>
        <v>41.3568</v>
      </c>
      <c r="D461" s="111">
        <f ca="1">IFERROR(__xludf.DUMMYFUNCTION("C455*IMPORTRANGE("" https://docs.google.com/spreadsheets/d/1xsp01RMmkav9iTy39Zaj_7tE9677EGlOJ14KU9TZn7I"", ""H502"")"),37.478772864)</f>
        <v>37.478772864</v>
      </c>
      <c r="E461" s="111">
        <f ca="1">IFERROR(__xludf.DUMMYFUNCTION("C455*IMPORTRANGE(""https://docs.google.com/spreadsheets/d/1xsp01RMmkav9iTy39Zaj_7tE9677EGlOJ14KU9TZn7I"",""T502"")"),32.409669888)</f>
        <v>32.409669888000003</v>
      </c>
      <c r="F461" s="111">
        <f ca="1">IFERROR(__xludf.DUMMYFUNCTION("C455*IMPORTRANGE(""https://docs.google.com/spreadsheets/d/1xsp01RMmkav9iTy39Zaj_7tE9677EGlOJ14KU9TZn7I"",""AC502"")"),4485.5171712)</f>
        <v>4485.5171712000001</v>
      </c>
      <c r="G461" s="128" t="s">
        <v>8</v>
      </c>
    </row>
    <row r="462" spans="1:29" ht="13.2" x14ac:dyDescent="0.25">
      <c r="A462" s="142">
        <v>43788</v>
      </c>
      <c r="B462" s="106">
        <v>288</v>
      </c>
      <c r="C462" s="88">
        <f>47542.1/1000</f>
        <v>47.542099999999998</v>
      </c>
      <c r="D462" s="110">
        <f ca="1">IFERROR(__xludf.DUMMYFUNCTION("C456*IMPORTRANGE(""https://docs.google.com/spreadsheets/d/1xsp01RMmkav9iTy39Zaj_7tE9677EGlOJ14KU9TZn7I"",""H524"")"),43.081224757)</f>
        <v>43.081224757000001</v>
      </c>
      <c r="E462" s="110">
        <f ca="1">IFERROR(__xludf.DUMMYFUNCTION("C456*IMPORTRANGE(""https://docs.google.com/spreadsheets/d/1xsp01RMmkav9iTy39Zaj_7tE9677EGlOJ14KU9TZn7I"",""T524"")"),36.8784069699999)</f>
        <v>36.878406969999901</v>
      </c>
      <c r="F462" s="110">
        <f ca="1">IFERROR(__xludf.DUMMYFUNCTION("C456*IMPORTRANGE(""https://docs.google.com/spreadsheets/d/1xsp01RMmkav9iTy39Zaj_7tE9677EGlOJ14KU9TZn7I"",""AC524"")"),5172.48539579999)</f>
        <v>5172.4853957999903</v>
      </c>
      <c r="G462" s="126" t="s">
        <v>8</v>
      </c>
    </row>
    <row r="463" spans="1:29" ht="13.2" x14ac:dyDescent="0.25">
      <c r="A463" s="143">
        <v>43818</v>
      </c>
      <c r="B463" s="108">
        <v>322</v>
      </c>
      <c r="C463" s="101">
        <f>83515.1/1000</f>
        <v>83.515100000000004</v>
      </c>
      <c r="D463" s="112">
        <f ca="1">IFERROR(__xludf.DUMMYFUNCTION("C457*IMPORTRANGE(""https://docs.google.com/spreadsheets/d/1xsp01RMmkav9iTy39Zaj_7tE9677EGlOJ14KU9TZn7I"",""H547"")"),75.250445704)</f>
        <v>75.250445704000001</v>
      </c>
      <c r="E463" s="112">
        <f ca="1">IFERROR(__xludf.DUMMYFUNCTION("C457*IMPORTRANGE(""https://docs.google.com/spreadsheets/d/1xsp01RMmkav9iTy39Zaj_7tE9677EGlOJ14KU9TZn7I"",""T547"")"),63.7441528015)</f>
        <v>63.7441528015</v>
      </c>
      <c r="F463" s="112">
        <f ca="1">IFERROR(__xludf.DUMMYFUNCTION("C457*IMPORTRANGE(""https://docs.google.com/spreadsheets/d/1xsp01RMmkav9iTy39Zaj_7tE9677EGlOJ14KU9TZn7I"",""AC547"")"),9135.09042575)</f>
        <v>9135.0904257500006</v>
      </c>
      <c r="G463" s="129" t="s">
        <v>8</v>
      </c>
    </row>
    <row r="464" spans="1:29" ht="13.2" x14ac:dyDescent="0.25">
      <c r="A464" s="120">
        <v>2020</v>
      </c>
      <c r="B464" s="121"/>
      <c r="C464" s="139"/>
      <c r="D464" s="139"/>
      <c r="E464" s="139"/>
      <c r="F464" s="139"/>
      <c r="G464" s="123"/>
    </row>
    <row r="465" spans="1:7" ht="13.2" x14ac:dyDescent="0.25">
      <c r="A465" s="140">
        <v>43850</v>
      </c>
      <c r="B465" s="105">
        <v>252</v>
      </c>
      <c r="C465" s="85">
        <f>15753.5/1000</f>
        <v>15.753500000000001</v>
      </c>
      <c r="D465" s="109">
        <f ca="1">IFERROR(__xludf.DUMMYFUNCTION("C459*IMPORTRANGE(""https://docs.google.com/spreadsheets/d/1xsp01RMmkav9iTy39Zaj_7tE9677EGlOJ14KU9TZn7I"",""H572"")"),14.175471905)</f>
        <v>14.175471905</v>
      </c>
      <c r="E465" s="109">
        <f ca="1">IFERROR(__xludf.DUMMYFUNCTION("C459*IMPORTRANGE(""https://docs.google.com/spreadsheets/d/1xsp01RMmkav9iTy39Zaj_7tE9677EGlOJ14KU9TZn7I"",""T572"")"),12.05300285)</f>
        <v>12.05300285</v>
      </c>
      <c r="F465" s="109">
        <f ca="1">IFERROR(__xludf.DUMMYFUNCTION("C459*IMPORTRANGE(""https://docs.google.com/spreadsheets/d/1xsp01RMmkav9iTy39Zaj_7tE9677EGlOJ14KU9TZn7I"",""AC572"")"),1719.210962)</f>
        <v>1719.2109620000001</v>
      </c>
      <c r="G465" s="124" t="s">
        <v>8</v>
      </c>
    </row>
    <row r="466" spans="1:7" ht="13.2" x14ac:dyDescent="0.25">
      <c r="A466" s="141">
        <v>43881</v>
      </c>
      <c r="B466" s="104">
        <v>241</v>
      </c>
      <c r="C466" s="98">
        <f>27663.3/1000</f>
        <v>27.6633</v>
      </c>
      <c r="D466" s="111">
        <f ca="1">IFERROR(__xludf.DUMMYFUNCTION("C460*IMPORTRANGE(""https://docs.google.com/spreadsheets/d/1xsp01RMmkav9iTy39Zaj_7tE9677EGlOJ14KU9TZn7I"",""H593"")"),25.4166250905)</f>
        <v>25.416625090499998</v>
      </c>
      <c r="E466" s="111">
        <f ca="1">IFERROR(__xludf.DUMMYFUNCTION("C460*IMPORTRANGE(""https://docs.google.com/spreadsheets/d/1xsp01RMmkav9iTy39Zaj_7tE9677EGlOJ14KU9TZn7I"",""T593"")"),21.349981674)</f>
        <v>21.349981673999999</v>
      </c>
      <c r="F466" s="111">
        <f ca="1">IFERROR(__xludf.DUMMYFUNCTION("C460*IMPORTRANGE(""https://docs.google.com/spreadsheets/d/1xsp01RMmkav9iTy39Zaj_7tE9677EGlOJ14KU9TZn7I"",""AC593"")"),3038.44005045)</f>
        <v>3038.4400504499999</v>
      </c>
      <c r="G466" s="128" t="s">
        <v>8</v>
      </c>
    </row>
    <row r="467" spans="1:7" ht="13.2" x14ac:dyDescent="0.25">
      <c r="A467" s="142">
        <v>43910</v>
      </c>
      <c r="B467" s="106">
        <v>235</v>
      </c>
      <c r="C467" s="88">
        <f>14512.1/1000</f>
        <v>14.5121</v>
      </c>
      <c r="D467" s="110">
        <f ca="1">IFERROR(__xludf.DUMMYFUNCTION("C461*IMPORTRANGE(""https://docs.google.com/spreadsheets/d/1xsp01RMmkav9iTy39Zaj_7tE9677EGlOJ14KU9TZn7I"",""H616"")"),13.028092654)</f>
        <v>13.028092654</v>
      </c>
      <c r="E467" s="110">
        <f ca="1">IFERROR(__xludf.DUMMYFUNCTION("C461*IMPORTRANGE(""https://docs.google.com/spreadsheets/d/1xsp01RMmkav9iTy39Zaj_7tE9677EGlOJ14KU9TZn7I"",""T616"")"),11.6783802813999)</f>
        <v>11.6783802813999</v>
      </c>
      <c r="F467" s="110">
        <f ca="1">IFERROR(__xludf.DUMMYFUNCTION("C461*IMPORTRANGE(""https://docs.google.com/spreadsheets/d/1xsp01RMmkav9iTy39Zaj_7tE9677EGlOJ14KU9TZn7I"",""AC616"")"),1560.7037945)</f>
        <v>1560.7037945</v>
      </c>
      <c r="G467" s="126" t="s">
        <v>8</v>
      </c>
    </row>
    <row r="468" spans="1:7" ht="13.2" x14ac:dyDescent="0.25">
      <c r="A468" s="141">
        <v>43941</v>
      </c>
      <c r="B468" s="107">
        <v>147</v>
      </c>
      <c r="C468" s="98">
        <f>5792.6/1000</f>
        <v>5.7926000000000002</v>
      </c>
      <c r="D468" s="111">
        <f ca="1">IFERROR(__xludf.DUMMYFUNCTION("C462*IMPORTRANGE(""https://docs.google.com/spreadsheets/d/1xsp01RMmkav9iTy39Zaj_7tE9677EGlOJ14KU9TZn7I"",""H639"")"),5.33179867)</f>
        <v>5.3317986700000004</v>
      </c>
      <c r="E468" s="111">
        <f ca="1">IFERROR(__xludf.DUMMYFUNCTION("C462*IMPORTRANGE(""https://docs.google.com/spreadsheets/d/1xsp01RMmkav9iTy39Zaj_7tE9677EGlOJ14KU9TZn7I"",""T639"")"),4.665591744)</f>
        <v>4.6655917440000003</v>
      </c>
      <c r="F468" s="111">
        <f ca="1">IFERROR(__xludf.DUMMYFUNCTION("C462*IMPORTRANGE(""https://docs.google.com/spreadsheets/d/1xsp01RMmkav9iTy39Zaj_7tE9677EGlOJ14KU9TZn7I"",""AC639"")"),623.6863457)</f>
        <v>623.68634569999995</v>
      </c>
      <c r="G468" s="128" t="s">
        <v>8</v>
      </c>
    </row>
    <row r="469" spans="1:7" ht="13.2" x14ac:dyDescent="0.25">
      <c r="A469" s="144">
        <v>43971</v>
      </c>
      <c r="B469" s="106">
        <v>167</v>
      </c>
      <c r="C469" s="88">
        <f>12034.5/1000</f>
        <v>12.0345</v>
      </c>
      <c r="D469" s="110">
        <f ca="1">IFERROR(__xludf.DUMMYFUNCTION("C463*IMPORTRANGE(""https://docs.google.com/spreadsheets/d/1xsp01RMmkav9iTy39Zaj_7tE9677EGlOJ14KU9TZn7I"",""H661"")"),11.036478915)</f>
        <v>11.036478915</v>
      </c>
      <c r="E469" s="110">
        <f ca="1">IFERROR(__xludf.DUMMYFUNCTION("C463*IMPORTRANGE(""https://docs.google.com/spreadsheets/d/1xsp01RMmkav9iTy39Zaj_7tE9677EGlOJ14KU9TZn7I"",""T661"")"),9.81220922999999)</f>
        <v>9.8122092299999899</v>
      </c>
      <c r="F469" s="110">
        <f ca="1">IFERROR(__xludf.DUMMYFUNCTION("C463*IMPORTRANGE(""https://docs.google.com/spreadsheets/d/1xsp01RMmkav9iTy39Zaj_7tE9677EGlOJ14KU9TZn7I"",""AC661"")"),1292.0840925)</f>
        <v>1292.0840925</v>
      </c>
      <c r="G469" s="126" t="s">
        <v>8</v>
      </c>
    </row>
    <row r="470" spans="1:7" ht="13.2" x14ac:dyDescent="0.25">
      <c r="A470" s="141">
        <v>44002</v>
      </c>
      <c r="B470" s="107">
        <v>204</v>
      </c>
      <c r="C470" s="98">
        <f>24344.1/1000</f>
        <v>24.344099999999997</v>
      </c>
      <c r="D470" s="111">
        <f ca="1">IFERROR(__xludf.DUMMYFUNCTION("C464*IMPORTRANGE(""https://docs.google.com/spreadsheets/d/1xsp01RMmkav9iTy39Zaj_7tE9677EGlOJ14KU9TZn7I"",""H684"")"),21.6364274774999)</f>
        <v>21.6364274774999</v>
      </c>
      <c r="E470" s="111">
        <f ca="1">IFERROR(__xludf.DUMMYFUNCTION("C464*IMPORTRANGE(""https://docs.google.com/spreadsheets/d/1xsp01RMmkav9iTy39Zaj_7tE9677EGlOJ14KU9TZn7I"",""T684"")"),19.4150283525)</f>
        <v>19.415028352499998</v>
      </c>
      <c r="F470" s="111">
        <f ca="1">IFERROR(__xludf.DUMMYFUNCTION("C464*IMPORTRANGE(""https://docs.google.com/spreadsheets/d/1xsp01RMmkav9iTy39Zaj_7tE9677EGlOJ14KU9TZn7I"",""AC684"")"),2613.59474805)</f>
        <v>2613.5947480499999</v>
      </c>
      <c r="G470" s="128" t="s">
        <v>8</v>
      </c>
    </row>
    <row r="471" spans="1:7" ht="13.2" x14ac:dyDescent="0.25">
      <c r="A471" s="142">
        <v>44397</v>
      </c>
      <c r="B471" s="103">
        <v>209</v>
      </c>
      <c r="C471" s="88">
        <f>28458.7/1000</f>
        <v>28.4587</v>
      </c>
      <c r="D471" s="110">
        <f ca="1">IFERROR(__xludf.DUMMYFUNCTION("C465*IMPORTRANGE(""https://docs.google.com/spreadsheets/d/1xsp01RMmkav9iTy39Zaj_7tE9677EGlOJ14KU9TZn7I"",""H708"")"),24.940350919)</f>
        <v>24.940350919</v>
      </c>
      <c r="E471" s="110">
        <f ca="1">IFERROR(__xludf.DUMMYFUNCTION("C465*IMPORTRANGE(""https://docs.google.com/spreadsheets/d/1xsp01RMmkav9iTy39Zaj_7tE9677EGlOJ14KU9TZn7I"",""T708"")"),22.577140471)</f>
        <v>22.577140471</v>
      </c>
      <c r="F471" s="110">
        <f ca="1">IFERROR(__xludf.DUMMYFUNCTION("C465*IMPORTRANGE(""https://docs.google.com/spreadsheets/d/1xsp01RMmkav9iTy39Zaj_7tE9677EGlOJ14KU9TZn7I"",""AC708"")"),3050.6588052)</f>
        <v>3050.6588052000002</v>
      </c>
      <c r="G471" s="126" t="s">
        <v>8</v>
      </c>
    </row>
    <row r="472" spans="1:7" ht="13.2" x14ac:dyDescent="0.25">
      <c r="A472" s="141">
        <v>44428</v>
      </c>
      <c r="B472" s="107">
        <v>236</v>
      </c>
      <c r="C472" s="98">
        <f>28857.2/1000</f>
        <v>28.857200000000002</v>
      </c>
      <c r="D472" s="111">
        <f ca="1">IFERROR(__xludf.DUMMYFUNCTION("C466*IMPORTRANGE(""https://docs.google.com/spreadsheets/d/1xsp01RMmkav9iTy39Zaj_7tE9677EGlOJ14KU9TZn7I"",""H730"")"),24.41463406)</f>
        <v>24.414634060000001</v>
      </c>
      <c r="E472" s="111">
        <f ca="1">IFERROR(__xludf.DUMMYFUNCTION("C466*IMPORTRANGE(""https://docs.google.com/spreadsheets/d/1xsp01RMmkav9iTy39Zaj_7tE9677EGlOJ14KU9TZn7I"",""T730"")"),22.0166295972)</f>
        <v>22.016629597200001</v>
      </c>
      <c r="F472" s="111">
        <f ca="1">IFERROR(__xludf.DUMMYFUNCTION("C466*IMPORTRANGE(""https://docs.google.com/spreadsheets/d/1xsp01RMmkav9iTy39Zaj_7tE9677EGlOJ14KU9TZn7I"",""AC730"")"),3058.6323424)</f>
        <v>3058.6323424000002</v>
      </c>
      <c r="G472" s="128" t="s">
        <v>8</v>
      </c>
    </row>
    <row r="473" spans="1:7" ht="13.2" x14ac:dyDescent="0.25">
      <c r="A473" s="126" t="s">
        <v>425</v>
      </c>
      <c r="B473" s="106">
        <v>265</v>
      </c>
      <c r="C473" s="88">
        <f>22704.9/1000</f>
        <v>22.704900000000002</v>
      </c>
      <c r="D473" s="110">
        <f ca="1">IFERROR(__xludf.DUMMYFUNCTION("C467*IMPORTRANGE(""https://docs.google.com/spreadsheets/d/1xsp01RMmkav9iTy39Zaj_7tE9677EGlOJ14KU9TZn7I"",""H753"")"),19.2039179445)</f>
        <v>19.203917944499999</v>
      </c>
      <c r="E473" s="110">
        <f ca="1">IFERROR(__xludf.DUMMYFUNCTION("C467*IMPORTRANGE(""https://docs.google.com/spreadsheets/d/1xsp01RMmkav9iTy39Zaj_7tE9677EGlOJ14KU9TZn7I"",""T753"")"),17.588804883)</f>
        <v>17.588804883000002</v>
      </c>
      <c r="F473" s="110">
        <f ca="1">IFERROR(__xludf.DUMMYFUNCTION("C467*IMPORTRANGE(""https://docs.google.com/spreadsheets/d/1xsp01RMmkav9iTy39Zaj_7tE9677EGlOJ14KU9TZn7I"",""AC753"")"),2399.66952855)</f>
        <v>2399.66952855</v>
      </c>
      <c r="G473" s="126" t="s">
        <v>8</v>
      </c>
    </row>
    <row r="474" spans="1:7" ht="13.2" x14ac:dyDescent="0.25">
      <c r="A474" s="141">
        <v>44489</v>
      </c>
      <c r="B474" s="107">
        <v>220</v>
      </c>
      <c r="C474" s="98">
        <f>81674.6/1000</f>
        <v>81.674600000000012</v>
      </c>
      <c r="D474" s="111">
        <f ca="1">IFERROR(__xludf.DUMMYFUNCTION("C468*IMPORTRANGE(""https://docs.google.com/spreadsheets/d/1xsp01RMmkav9iTy39Zaj_7tE9677EGlOJ14KU9TZn7I"",""H776"")"),69.4084635482)</f>
        <v>69.408463548200004</v>
      </c>
      <c r="E474" s="111">
        <f ca="1">IFERROR(__xludf.DUMMYFUNCTION("C468*IMPORTRANGE(""https://docs.google.com/spreadsheets/d/1xsp01RMmkav9iTy39Zaj_7tE9677EGlOJ14KU9TZn7I"",""T776"")"),63.062592152)</f>
        <v>63.062592152000001</v>
      </c>
      <c r="F474" s="111">
        <f ca="1">IFERROR(__xludf.DUMMYFUNCTION("C468*IMPORTRANGE(""https://docs.google.com/spreadsheets/d/1xsp01RMmkav9iTy39Zaj_7tE9677EGlOJ14KU9TZn7I"",""AC776"")"),8611.6881494)</f>
        <v>8611.6881494000008</v>
      </c>
      <c r="G474" s="128" t="s">
        <v>8</v>
      </c>
    </row>
    <row r="475" spans="1:7" ht="13.2" x14ac:dyDescent="0.25">
      <c r="A475" s="142">
        <v>44520</v>
      </c>
      <c r="B475" s="106">
        <v>277</v>
      </c>
      <c r="C475" s="88">
        <f>41920/1000</f>
        <v>41.92</v>
      </c>
      <c r="D475" s="110">
        <f ca="1">IFERROR(__xludf.DUMMYFUNCTION("C469*IMPORTRANGE(""https://docs.google.com/spreadsheets/d/1xsp01RMmkav9iTy39Zaj_7tE9677EGlOJ14KU9TZn7I"",""H798"")"),35.3897024)</f>
        <v>35.389702399999997</v>
      </c>
      <c r="E475" s="110">
        <f ca="1">IFERROR(__xludf.DUMMYFUNCTION("C469*IMPORTRANGE(""https://docs.google.com/spreadsheets/d/1xsp01RMmkav9iTy39Zaj_7tE9677EGlOJ14KU9TZn7I"",""T798"")"),31.6994848)</f>
        <v>31.6994848</v>
      </c>
      <c r="F475" s="110">
        <f ca="1">IFERROR(__xludf.DUMMYFUNCTION("C469*IMPORTRANGE(""https://docs.google.com/spreadsheets/d/1xsp01RMmkav9iTy39Zaj_7tE9677EGlOJ14KU9TZn7I"",""AC798"")"),4381.18496)</f>
        <v>4381.1849599999996</v>
      </c>
      <c r="G475" s="126" t="s">
        <v>8</v>
      </c>
    </row>
    <row r="476" spans="1:7" ht="13.2" x14ac:dyDescent="0.25">
      <c r="A476" s="143">
        <v>44550</v>
      </c>
      <c r="B476" s="108">
        <v>366</v>
      </c>
      <c r="C476" s="101">
        <f>45711.7/1000</f>
        <v>45.7117</v>
      </c>
      <c r="D476" s="112">
        <f ca="1">IFERROR(__xludf.DUMMYFUNCTION("C470*IMPORTRANGE(""https://docs.google.com/spreadsheets/d/1xsp01RMmkav9iTy39Zaj_7tE9677EGlOJ14KU9TZn7I"",""H822"")"),37.6094840218)</f>
        <v>37.6094840218</v>
      </c>
      <c r="E476" s="112">
        <f ca="1">IFERROR(__xludf.DUMMYFUNCTION("C470*IMPORTRANGE(""https://docs.google.com/spreadsheets/d/1xsp01RMmkav9iTy39Zaj_7tE9677EGlOJ14KU9TZn7I"",""T822"")"),34.055673617)</f>
        <v>34.055673616999997</v>
      </c>
      <c r="F476" s="112">
        <f ca="1">IFERROR(__xludf.DUMMYFUNCTION("C470*IMPORTRANGE(""https://docs.google.com/spreadsheets/d/1xsp01RMmkav9iTy39Zaj_7tE9677EGlOJ14KU9TZn7I"",""AC822"")"),4739.80046129999)</f>
        <v>4739.8004612999903</v>
      </c>
      <c r="G476" s="129" t="s">
        <v>8</v>
      </c>
    </row>
    <row r="477" spans="1:7" ht="13.2" x14ac:dyDescent="0.25">
      <c r="A477" s="120">
        <v>2021</v>
      </c>
      <c r="B477" s="121"/>
      <c r="C477" s="139"/>
      <c r="D477" s="139"/>
      <c r="E477" s="139"/>
      <c r="F477" s="139"/>
      <c r="G477" s="123"/>
    </row>
    <row r="478" spans="1:7" ht="13.2" x14ac:dyDescent="0.25">
      <c r="A478" s="140">
        <v>44947</v>
      </c>
      <c r="B478" s="105">
        <v>263</v>
      </c>
      <c r="C478" s="85">
        <f>16058.4/1000</f>
        <v>16.058399999999999</v>
      </c>
      <c r="D478" s="109">
        <f ca="1">IFERROR(__xludf.DUMMYFUNCTION("C472*IMPORTRANGE(""https://docs.google.com/spreadsheets/d/1xsp01RMmkav9iTy39Zaj_7tE9677EGlOJ14KU9TZn7I"",""H845"")"),13.2026704943999)</f>
        <v>13.2026704943999</v>
      </c>
      <c r="E478" s="109">
        <f ca="1">IFERROR(__xludf.DUMMYFUNCTION("C472*IMPORTRANGE(""https://docs.google.com/spreadsheets/d/1xsp01RMmkav9iTy39Zaj_7tE9677EGlOJ14KU9TZn7I"",""T845"")"),11.7484860239999)</f>
        <v>11.7484860239999</v>
      </c>
      <c r="F478" s="109">
        <f ca="1">IFERROR(__xludf.DUMMYFUNCTION("C472*IMPORTRANGE(""https://docs.google.com/spreadsheets/d/1xsp01RMmkav9iTy39Zaj_7tE9677EGlOJ14KU9TZn7I"",""AC845"")"),1666.219584)</f>
        <v>1666.2195839999999</v>
      </c>
      <c r="G478" s="124" t="s">
        <v>8</v>
      </c>
    </row>
    <row r="479" spans="1:7" ht="13.2" x14ac:dyDescent="0.25">
      <c r="A479" s="141">
        <v>44978</v>
      </c>
      <c r="B479" s="107">
        <v>217</v>
      </c>
      <c r="C479" s="98">
        <f>56279.8/1000</f>
        <v>56.279800000000002</v>
      </c>
      <c r="D479" s="111">
        <f ca="1">IFERROR(__xludf.DUMMYFUNCTION("C473*IMPORTRANGE(""https://docs.google.com/spreadsheets/d/1xsp01RMmkav9iTy39Zaj_7tE9677EGlOJ14KU9TZn7I"",""H866"")"),46.4331987516)</f>
        <v>46.433198751600003</v>
      </c>
      <c r="E479" s="111">
        <f ca="1">IFERROR(__xludf.DUMMYFUNCTION("C473*IMPORTRANGE(""https://docs.google.com/spreadsheets/d/1xsp01RMmkav9iTy39Zaj_7tE9677EGlOJ14KU9TZn7I"",""T866"")"),40.63682959)</f>
        <v>40.636829589999998</v>
      </c>
      <c r="F479" s="111">
        <f ca="1">IFERROR(__xludf.DUMMYFUNCTION("C473*IMPORTRANGE(""https://docs.google.com/spreadsheets/d/1xsp01RMmkav9iTy39Zaj_7tE9677EGlOJ14KU9TZn7I"",""AC866"")"),5923.2519707)</f>
        <v>5923.2519707000001</v>
      </c>
      <c r="G479" s="128" t="s">
        <v>8</v>
      </c>
    </row>
    <row r="480" spans="1:7" ht="13.2" x14ac:dyDescent="0.25">
      <c r="A480" s="142">
        <v>45006</v>
      </c>
      <c r="B480" s="106">
        <v>280</v>
      </c>
      <c r="C480" s="88">
        <f>66634.4/1000</f>
        <v>66.634399999999999</v>
      </c>
      <c r="D480" s="110">
        <f ca="1">IFERROR(__xludf.DUMMYFUNCTION("C474*IMPORTRANGE(""https://docs.google.com/spreadsheets/d/1xsp01RMmkav9iTy39Zaj_7tE9677EGlOJ14KU9TZn7I"",""H890"")"),55.874943432)</f>
        <v>55.874943432000002</v>
      </c>
      <c r="E480" s="110">
        <f ca="1">IFERROR(__xludf.DUMMYFUNCTION("C474*IMPORTRANGE(""https://docs.google.com/spreadsheets/d/1xsp01RMmkav9iTy39Zaj_7tE9677EGlOJ14KU9TZn7I"",""T890"")"),47.9587767119999)</f>
        <v>47.958776711999903</v>
      </c>
      <c r="F480" s="110">
        <f ca="1">IFERROR(__xludf.DUMMYFUNCTION("C474*IMPORTRANGE(""https://docs.google.com/spreadsheets/d/1xsp01RMmkav9iTy39Zaj_7tE9677EGlOJ14KU9TZn7I"",""AC890"")"),7249.156376)</f>
        <v>7249.1563759999999</v>
      </c>
      <c r="G480" s="126" t="s">
        <v>8</v>
      </c>
    </row>
    <row r="481" spans="1:11" ht="13.2" x14ac:dyDescent="0.25">
      <c r="A481" s="141">
        <v>45037</v>
      </c>
      <c r="B481" s="113">
        <v>269</v>
      </c>
      <c r="C481" s="98">
        <f>135453.2/1000</f>
        <v>135.45320000000001</v>
      </c>
      <c r="D481" s="111">
        <f ca="1">IFERROR(__xludf.DUMMYFUNCTION("B475*IMPORTRANGE(""https://docs.google.com/spreadsheets/d/1xsp01RMmkav9iTy39Zaj_7tE9677EGlOJ14KU9TZn7I"",""H913"")"),224.71722)</f>
        <v>224.71722</v>
      </c>
      <c r="E481" s="111">
        <f ca="1">IFERROR(__xludf.DUMMYFUNCTION("B475*IMPORTRANGE(""https://docs.google.com/spreadsheets/d/1xsp01RMmkav9iTy39Zaj_7tE9677EGlOJ14KU9TZn7I"",""T913"")"),194.460099999999)</f>
        <v>194.46009999999899</v>
      </c>
      <c r="F481" s="111">
        <f ca="1">IFERROR(__xludf.DUMMYFUNCTION("B475*IMPORTRANGE(""https://docs.google.com/spreadsheets/d/1xsp01RMmkav9iTy39Zaj_7tE9677EGlOJ14KU9TZn7I"",""AC913"")"),29293.831)</f>
        <v>29293.830999999998</v>
      </c>
      <c r="G481" s="128" t="s">
        <v>8</v>
      </c>
    </row>
    <row r="482" spans="1:11" ht="13.2" x14ac:dyDescent="0.25">
      <c r="A482" s="142">
        <v>45067</v>
      </c>
      <c r="B482" s="106">
        <v>239</v>
      </c>
      <c r="C482" s="88">
        <f>62907.6/1000</f>
        <v>62.907599999999995</v>
      </c>
      <c r="D482" s="110">
        <f ca="1">IFERROR(__xludf.DUMMYFUNCTION("C476*IMPORTRANGE(""https://docs.google.com/spreadsheets/d/1xsp01RMmkav9iTy39Zaj_7tE9677EGlOJ14KU9TZn7I"",""H935"")"),51.7465336079999)</f>
        <v>51.746533607999901</v>
      </c>
      <c r="E482" s="110">
        <f ca="1">IFERROR(__xludf.DUMMYFUNCTION("C476*IMPORTRANGE(""https://docs.google.com/spreadsheets/d/1xsp01RMmkav9iTy39Zaj_7tE9677EGlOJ14KU9TZn7I"",""t935"")"),44.5643729159999)</f>
        <v>44.564372915999897</v>
      </c>
      <c r="F482" s="110">
        <f ca="1">IFERROR(__xludf.DUMMYFUNCTION("C476*IMPORTRANGE(""https://docs.google.com/spreadsheets/d/1xsp01RMmkav9iTy39Zaj_7tE9677EGlOJ14KU9TZn7I"",""AC935"")"),6867.622692)</f>
        <v>6867.6226919999999</v>
      </c>
      <c r="G482" s="126" t="s">
        <v>8</v>
      </c>
    </row>
    <row r="483" spans="1:11" ht="13.2" x14ac:dyDescent="0.25">
      <c r="A483" s="141">
        <v>45098</v>
      </c>
      <c r="B483" s="107">
        <v>298</v>
      </c>
      <c r="C483" s="98">
        <f>25480.1/1000</f>
        <v>25.4801</v>
      </c>
      <c r="D483" s="111">
        <f ca="1">IFERROR(__xludf.DUMMYFUNCTION("C477*IMPORTRANGE(""https://docs.google.com/spreadsheets/d/1xsp01RMmkav9iTy39Zaj_7tE9677EGlOJ14KU9TZn7I"",""H958"")"),21.029745734)</f>
        <v>21.029745733999999</v>
      </c>
      <c r="E483" s="111">
        <f ca="1">IFERROR(__xludf.DUMMYFUNCTION("C477*IMPORTRANGE(""https://docs.google.com/spreadsheets/d/1xsp01RMmkav9iTy39Zaj_7tE9677EGlOJ14KU9TZn7I"",""t958"")"),18.0764747435)</f>
        <v>18.0764747435</v>
      </c>
      <c r="F483" s="111">
        <f ca="1">IFERROR(__xludf.DUMMYFUNCTION("C477*IMPORTRANGE(""https://docs.google.com/spreadsheets/d/1xsp01RMmkav9iTy39Zaj_7tE9677EGlOJ14KU9TZn7I"",""AC958"")"),2806.44191425)</f>
        <v>2806.4419142500001</v>
      </c>
      <c r="G483" s="128" t="s">
        <v>8</v>
      </c>
    </row>
    <row r="484" spans="1:11" ht="13.2" x14ac:dyDescent="0.25">
      <c r="A484" s="142">
        <v>45128</v>
      </c>
      <c r="B484" s="106">
        <v>268</v>
      </c>
      <c r="C484" s="88">
        <f>53099.9/1000</f>
        <v>53.099899999999998</v>
      </c>
      <c r="D484" s="110">
        <f ca="1">IFERROR(__xludf.DUMMYFUNCTION("C478*IMPORTRANGE(""https://docs.google.com/spreadsheets/d/1xsp01RMmkav9iTy39Zaj_7tE9677EGlOJ14KU9TZn7I"",""H981"")"),44.909240425)</f>
        <v>44.909240425</v>
      </c>
      <c r="E484" s="110">
        <f ca="1">IFERROR(__xludf.DUMMYFUNCTION("C478*IMPORTRANGE(""https://docs.google.com/spreadsheets/d/1xsp01RMmkav9iTy39Zaj_7tE9677EGlOJ14KU9TZn7I"",""t981"")"),38.4291941285)</f>
        <v>38.429194128500001</v>
      </c>
      <c r="F484" s="110">
        <f ca="1">IFERROR(__xludf.DUMMYFUNCTION("C478*IMPORTRANGE(""https://docs.google.com/spreadsheets/d/1xsp01RMmkav9iTy39Zaj_7tE9677EGlOJ14KU9TZn7I"",""AC981"")"),5853.4674765)</f>
        <v>5853.4674765</v>
      </c>
      <c r="G484" s="126" t="s">
        <v>8</v>
      </c>
    </row>
    <row r="485" spans="1:11" ht="13.2" x14ac:dyDescent="0.25">
      <c r="A485" s="141">
        <v>45159</v>
      </c>
      <c r="B485" s="107">
        <v>236</v>
      </c>
      <c r="C485" s="98">
        <f>61613.5/1000</f>
        <v>61.613500000000002</v>
      </c>
      <c r="D485" s="111">
        <f ca="1">IFERROR(__xludf.DUMMYFUNCTION("C479*IMPORTRANGE(""https://docs.google.com/spreadsheets/d/1xsp01RMmkav9iTy39Zaj_7tE9677EGlOJ14KU9TZn7I"",""H1004"")"),52.41583672)</f>
        <v>52.415836720000001</v>
      </c>
      <c r="E485" s="111">
        <f ca="1">IFERROR(__xludf.DUMMYFUNCTION("C479*IMPORTRANGE(""https://docs.google.com/spreadsheets/d/1xsp01RMmkav9iTy39Zaj_7tE9677EGlOJ14KU9TZn7I"",""t1004"")"),44.570589765)</f>
        <v>44.570589765000001</v>
      </c>
      <c r="F485" s="111">
        <f ca="1">IFERROR(__xludf.DUMMYFUNCTION("C479*IMPORTRANGE(""https://docs.google.com/spreadsheets/d/1xsp01RMmkav9iTy39Zaj_7tE9677EGlOJ14KU9TZn7I"",""AC1004"")"),6765.408754)</f>
        <v>6765.408754</v>
      </c>
      <c r="G485" s="128" t="s">
        <v>8</v>
      </c>
    </row>
    <row r="486" spans="1:11" ht="13.2" x14ac:dyDescent="0.25">
      <c r="A486" s="142">
        <v>45190</v>
      </c>
      <c r="B486" s="106">
        <v>222</v>
      </c>
      <c r="C486" s="88">
        <f>41298.4/1000</f>
        <v>41.298400000000001</v>
      </c>
      <c r="D486" s="110">
        <f ca="1">IFERROR(__xludf.DUMMYFUNCTION("C480*IMPORTRANGE(""https://docs.google.com/spreadsheets/d/1xsp01RMmkav9iTy39Zaj_7tE9677EGlOJ14KU9TZn7I"",""H1027"")"),34.976027944)</f>
        <v>34.976027944000002</v>
      </c>
      <c r="E486" s="110">
        <f ca="1">IFERROR(__xludf.DUMMYFUNCTION("C480*IMPORTRANGE(""https://docs.google.com/spreadsheets/d/1xsp01RMmkav9iTy39Zaj_7tE9677EGlOJ14KU9TZn7I"",""t1027"")"),29.992343524)</f>
        <v>29.992343523999999</v>
      </c>
      <c r="F486" s="110">
        <f ca="1">IFERROR(__xludf.DUMMYFUNCTION("C480*IMPORTRANGE(""https://docs.google.com/spreadsheets/d/1xsp01RMmkav9iTy39Zaj_7tE9677EGlOJ14KU9TZn7I"",""AC1027"")"),4541.0894672)</f>
        <v>4541.0894672000004</v>
      </c>
      <c r="G486" s="126" t="s">
        <v>8</v>
      </c>
    </row>
    <row r="487" spans="1:11" ht="13.2" x14ac:dyDescent="0.25">
      <c r="A487" s="141">
        <v>45220</v>
      </c>
      <c r="B487" s="107">
        <v>277</v>
      </c>
      <c r="C487" s="98">
        <f>45006.6/1000</f>
        <v>45.006599999999999</v>
      </c>
      <c r="D487" s="111">
        <f ca="1">IFERROR(__xludf.DUMMYFUNCTION("C481*IMPORTRANGE(""https://docs.google.com/spreadsheets/d/1xsp01RMmkav9iTy39Zaj_7tE9677EGlOJ14KU9TZn7I"",""H1049"")"),38.8001898599999)</f>
        <v>38.800189859999897</v>
      </c>
      <c r="E487" s="111">
        <f ca="1">IFERROR(__xludf.DUMMYFUNCTION("C481*IMPORTRANGE(""https://docs.google.com/spreadsheets/d/1xsp01RMmkav9iTy39Zaj_7tE9677EGlOJ14KU9TZn7I"",""t1049"")"),32.925478362)</f>
        <v>32.925478362</v>
      </c>
      <c r="F487" s="111">
        <f ca="1">IFERROR(__xludf.DUMMYFUNCTION("C481*IMPORTRANGE(""https://docs.google.com/spreadsheets/d/1xsp01RMmkav9iTy39Zaj_7tE9677EGlOJ14KU9TZn7I"",""AC1049"")"),5113.4698656)</f>
        <v>5113.4698656</v>
      </c>
      <c r="G487" s="128" t="s">
        <v>8</v>
      </c>
    </row>
    <row r="488" spans="1:11" ht="13.2" x14ac:dyDescent="0.25">
      <c r="A488" s="142">
        <v>45251</v>
      </c>
      <c r="B488" s="106">
        <v>294</v>
      </c>
      <c r="C488" s="88">
        <f>24601.7/1000</f>
        <v>24.601700000000001</v>
      </c>
      <c r="D488" s="110">
        <f ca="1">IFERROR(__xludf.DUMMYFUNCTION("C482*IMPORTRANGE(""https://docs.google.com/spreadsheets/d/1xsp01RMmkav9iTy39Zaj_7tE9677EGlOJ14KU9TZn7I"",""H1072"")"),21.5711395855)</f>
        <v>21.571139585499999</v>
      </c>
      <c r="E488" s="110">
        <f ca="1">IFERROR(__xludf.DUMMYFUNCTION("C482*IMPORTRANGE(""https://docs.google.com/spreadsheets/d/1xsp01RMmkav9iTy39Zaj_7tE9677EGlOJ14KU9TZn7I"",""t1072"")"),18.3190408625)</f>
        <v>18.3190408625</v>
      </c>
      <c r="F488" s="110">
        <f ca="1">IFERROR(__xludf.DUMMYFUNCTION("C482*IMPORTRANGE(""https://docs.google.com/spreadsheets/d/1xsp01RMmkav9iTy39Zaj_7tE9677EGlOJ14KU9TZn7I"",""AC1072"")"),2806.6111394)</f>
        <v>2806.6111394</v>
      </c>
      <c r="G488" s="126" t="s">
        <v>8</v>
      </c>
    </row>
    <row r="489" spans="1:11" ht="13.2" x14ac:dyDescent="0.25">
      <c r="A489" s="143">
        <v>45281</v>
      </c>
      <c r="B489" s="108">
        <v>323</v>
      </c>
      <c r="C489" s="101">
        <f>32877.8/1000</f>
        <v>32.877800000000001</v>
      </c>
      <c r="D489" s="112">
        <f ca="1">IFERROR(__xludf.DUMMYFUNCTION("C483*IMPORTRANGE(""https://docs.google.com/spreadsheets/d/1xsp01RMmkav9iTy39Zaj_7tE9677EGlOJ14KU9TZn7I"",""H1096"")"),29.064961534)</f>
        <v>29.064961533999998</v>
      </c>
      <c r="E489" s="112">
        <f ca="1">IFERROR(__xludf.DUMMYFUNCTION("C483*IMPORTRANGE(""https://docs.google.com/spreadsheets/d/1xsp01RMmkav9iTy39Zaj_7tE9677EGlOJ14KU9TZn7I"",""t1096"")"),24.77671008)</f>
        <v>24.776710080000001</v>
      </c>
      <c r="F489" s="112">
        <f ca="1">IFERROR(__xludf.DUMMYFUNCTION("C483*IMPORTRANGE(""https://docs.google.com/spreadsheets/d/1xsp01RMmkav9iTy39Zaj_7tE9677EGlOJ14KU9TZn7I"",""AC1096"")"),3736.9893814)</f>
        <v>3736.9893814000002</v>
      </c>
      <c r="G489" s="129" t="s">
        <v>8</v>
      </c>
    </row>
    <row r="490" spans="1:11" ht="13.2" x14ac:dyDescent="0.25">
      <c r="A490" s="120">
        <v>2022</v>
      </c>
      <c r="B490" s="121"/>
      <c r="C490" s="139"/>
      <c r="D490" s="139"/>
      <c r="E490" s="139"/>
      <c r="F490" s="139"/>
      <c r="G490" s="123"/>
      <c r="I490" s="45" t="s">
        <v>426</v>
      </c>
      <c r="J490" s="151" t="s">
        <v>1</v>
      </c>
      <c r="K490" s="152" t="s">
        <v>427</v>
      </c>
    </row>
    <row r="491" spans="1:11" ht="13.2" x14ac:dyDescent="0.25">
      <c r="A491" s="140">
        <v>44948</v>
      </c>
      <c r="B491" s="105">
        <v>256</v>
      </c>
      <c r="C491" s="85">
        <f>106949.8/1000</f>
        <v>106.9498</v>
      </c>
      <c r="D491" s="109">
        <f ca="1">IFERROR(__xludf.DUMMYFUNCTION("C485*IMPORTRANGE(""https://docs.google.com/spreadsheets/d/1xsp01RMmkav9iTy39Zaj_7tE9677EGlOJ14KU9TZn7I"",""H1119"")"),94.398171472)</f>
        <v>94.398171472000001</v>
      </c>
      <c r="E491" s="109">
        <f ca="1">IFERROR(__xludf.DUMMYFUNCTION("C485*IMPORTRANGE(""https://docs.google.com/spreadsheets/d/1xsp01RMmkav9iTy39Zaj_7tE9677EGlOJ14KU9TZn7I"",""T1119"")"),78.8957979619999)</f>
        <v>78.895797961999904</v>
      </c>
      <c r="F491" s="109">
        <f ca="1">IFERROR(__xludf.DUMMYFUNCTION("C485*IMPORTRANGE(""https://docs.google.com/spreadsheets/d/1xsp01RMmkav9iTy39Zaj_7tE9677EGlOJ14KU9TZn7I"",""AC1119"")"),12269.3880058)</f>
        <v>12269.3880058</v>
      </c>
      <c r="G491" s="124" t="s">
        <v>8</v>
      </c>
      <c r="I491" s="153"/>
      <c r="J491" s="154">
        <f t="shared" ref="J491:K491" si="0">SUM(B491:B501)</f>
        <v>2671</v>
      </c>
      <c r="K491" s="86">
        <f t="shared" si="0"/>
        <v>538.73799999999994</v>
      </c>
    </row>
    <row r="492" spans="1:11" ht="13.2" x14ac:dyDescent="0.25">
      <c r="A492" s="141">
        <v>44979</v>
      </c>
      <c r="B492" s="107">
        <v>237</v>
      </c>
      <c r="C492" s="98">
        <f>54565.1/1000</f>
        <v>54.565100000000001</v>
      </c>
      <c r="D492" s="111">
        <f ca="1">IFERROR(__xludf.DUMMYFUNCTION("C486*IMPORTRANGE(""https://docs.google.com/spreadsheets/d/1xsp01RMmkav9iTy39Zaj_7tE9677EGlOJ14KU9TZn7I"",""H1140"")"),48.1048649855)</f>
        <v>48.104864985500001</v>
      </c>
      <c r="E492" s="111">
        <f ca="1">IFERROR(__xludf.DUMMYFUNCTION("C486*IMPORTRANGE(""https://docs.google.com/spreadsheets/d/1xsp01RMmkav9iTy39Zaj_7tE9677EGlOJ14KU9TZn7I"",""T1140"")"),40.279411169)</f>
        <v>40.279411168999999</v>
      </c>
      <c r="F492" s="111">
        <f ca="1">IFERROR(__xludf.DUMMYFUNCTION("C486*IMPORTRANGE(""https://docs.google.com/spreadsheets/d/1xsp01RMmkav9iTy39Zaj_7tE9677EGlOJ14KU9TZn7I"",""AC1140"")"),6284.39897975)</f>
        <v>6284.3989797499999</v>
      </c>
      <c r="G492" s="128" t="s">
        <v>8</v>
      </c>
      <c r="I492" s="3"/>
      <c r="J492" s="2"/>
      <c r="K492" s="4"/>
    </row>
    <row r="493" spans="1:11" ht="13.2" x14ac:dyDescent="0.25">
      <c r="A493" s="142">
        <v>45007</v>
      </c>
      <c r="B493" s="106">
        <v>282</v>
      </c>
      <c r="C493" s="88">
        <f>35773.7/1000</f>
        <v>35.773699999999998</v>
      </c>
      <c r="D493" s="110">
        <f ca="1">IFERROR(__xludf.DUMMYFUNCTION("C487*IMPORTRANGE(""https://docs.google.com/spreadsheets/d/1xsp01RMmkav9iTy39Zaj_7tE9677EGlOJ14KU9TZn7I"",""H1164"")"),32.470714279)</f>
        <v>32.470714278999999</v>
      </c>
      <c r="E493" s="110">
        <f ca="1">IFERROR(__xludf.DUMMYFUNCTION("C487*IMPORTRANGE(""https://docs.google.com/spreadsheets/d/1xsp01RMmkav9iTy39Zaj_7tE9677EGlOJ14KU9TZn7I"",""T1164"")"),27.1819304709999)</f>
        <v>27.181930470999902</v>
      </c>
      <c r="F493" s="110">
        <f ca="1">IFERROR(__xludf.DUMMYFUNCTION("C487*IMPORTRANGE(""https://docs.google.com/spreadsheets/d/1xsp01RMmkav9iTy39Zaj_7tE9677EGlOJ14KU9TZn7I"",""AC1164"")"),4231.7425204)</f>
        <v>4231.7425204000001</v>
      </c>
      <c r="G493" s="126" t="s">
        <v>8</v>
      </c>
      <c r="I493" s="3"/>
      <c r="J493" s="3"/>
      <c r="K493" s="4"/>
    </row>
    <row r="494" spans="1:11" ht="13.2" x14ac:dyDescent="0.25">
      <c r="A494" s="141">
        <v>45038</v>
      </c>
      <c r="B494" s="107">
        <v>221</v>
      </c>
      <c r="C494" s="98">
        <f>99404.2/1000</f>
        <v>99.404200000000003</v>
      </c>
      <c r="D494" s="111">
        <f ca="1">IFERROR(__xludf.DUMMYFUNCTION("C488*IMPORTRANGE(""https://docs.google.com/spreadsheets/d/1xsp01RMmkav9iTy39Zaj_7tE9677EGlOJ14KU9TZn7I"",""H1186"")"),91.742124264)</f>
        <v>91.742124263999997</v>
      </c>
      <c r="E494" s="111">
        <f ca="1">IFERROR(__xludf.DUMMYFUNCTION("C488*IMPORTRANGE(""https://docs.google.com/spreadsheets/d/1xsp01RMmkav9iTy39Zaj_7tE9677EGlOJ14KU9TZn7I"",""T1186"")"),76.275824786)</f>
        <v>76.275824786000001</v>
      </c>
      <c r="F494" s="111">
        <f ca="1">IFERROR(__xludf.DUMMYFUNCTION("C488*IMPORTRANGE(""https://docs.google.com/spreadsheets/d/1xsp01RMmkav9iTy39Zaj_7tE9677EGlOJ14KU9TZn7I"",""AC1186"")"),12542.7225518)</f>
        <v>12542.7225518</v>
      </c>
      <c r="G494" s="128" t="s">
        <v>8</v>
      </c>
      <c r="I494" s="3"/>
      <c r="J494" s="3"/>
      <c r="K494" s="4"/>
    </row>
    <row r="495" spans="1:11" ht="13.2" x14ac:dyDescent="0.25">
      <c r="A495" s="142">
        <v>45068</v>
      </c>
      <c r="B495" s="106">
        <v>253</v>
      </c>
      <c r="C495" s="88">
        <f>62107.4/1000</f>
        <v>62.107399999999998</v>
      </c>
      <c r="D495" s="110">
        <f ca="1">IFERROR(__xludf.DUMMYFUNCTION("C489*IMPORTRANGE(""https://docs.google.com/spreadsheets/d/1xsp01RMmkav9iTy39Zaj_7tE9677EGlOJ14KU9TZn7I"",""H1209"")"),58.9042108449999)</f>
        <v>58.904210844999902</v>
      </c>
      <c r="E495" s="110">
        <f ca="1">IFERROR(__xludf.DUMMYFUNCTION("C489*IMPORTRANGE(""https://docs.google.com/spreadsheets/d/1xsp01RMmkav9iTy39Zaj_7tE9677EGlOJ14KU9TZn7I"",""T1209"")"),49.720389607)</f>
        <v>49.720389607000001</v>
      </c>
      <c r="F495" s="110">
        <f ca="1">IFERROR(__xludf.DUMMYFUNCTION("C489*IMPORTRANGE(""https://docs.google.com/spreadsheets/d/1xsp01RMmkav9iTy39Zaj_7tE9677EGlOJ14KU9TZn7I"",""AC1209"")"),8016.3884402)</f>
        <v>8016.3884402000003</v>
      </c>
      <c r="G495" s="126" t="s">
        <v>8</v>
      </c>
      <c r="I495" s="3"/>
      <c r="J495" s="3"/>
      <c r="K495" s="4"/>
    </row>
    <row r="496" spans="1:11" ht="13.2" x14ac:dyDescent="0.25">
      <c r="A496" s="141">
        <v>45099</v>
      </c>
      <c r="B496" s="107">
        <v>247</v>
      </c>
      <c r="C496" s="98">
        <f>41929/1000</f>
        <v>41.929000000000002</v>
      </c>
      <c r="D496" s="111">
        <f ca="1">IFERROR(__xludf.DUMMYFUNCTION("C490*IMPORTRANGE(""https://docs.google.com/spreadsheets/d/1xsp01RMmkav9iTy39Zaj_7tE9677EGlOJ14KU9TZn7I"",""H1232"")"),39.722486375)</f>
        <v>39.722486375000003</v>
      </c>
      <c r="E496" s="111">
        <f ca="1">IFERROR(__xludf.DUMMYFUNCTION("C490*IMPORTRANGE(""https://docs.google.com/spreadsheets/d/1xsp01RMmkav9iTy39Zaj_7tE9677EGlOJ14KU9TZn7I"",""T1232"")"),34.16878068)</f>
        <v>34.168780679999998</v>
      </c>
      <c r="F496" s="111">
        <f ca="1">IFERROR(__xludf.DUMMYFUNCTION("C490*IMPORTRANGE(""https://docs.google.com/spreadsheets/d/1xsp01RMmkav9iTy39Zaj_7tE9677EGlOJ14KU9TZn7I"",""AC1232"")"),5644.565838)</f>
        <v>5644.5658380000004</v>
      </c>
      <c r="G496" s="128" t="s">
        <v>8</v>
      </c>
      <c r="I496" s="3"/>
      <c r="J496" s="3"/>
      <c r="K496" s="4"/>
    </row>
    <row r="497" spans="1:11" ht="13.2" x14ac:dyDescent="0.25">
      <c r="A497" s="142">
        <v>45129</v>
      </c>
      <c r="B497" s="106">
        <v>248</v>
      </c>
      <c r="C497" s="88">
        <f>20391.1/1000</f>
        <v>20.391099999999998</v>
      </c>
      <c r="D497" s="110">
        <f ca="1">IFERROR(__xludf.DUMMYFUNCTION("C491*IMPORTRANGE(""https://docs.google.com/spreadsheets/d/1xsp01RMmkav9iTy39Zaj_7tE9677EGlOJ14KU9TZn7I"",""H1254"")"),20.01794287)</f>
        <v>20.017942869999999</v>
      </c>
      <c r="E497" s="110">
        <f ca="1">IFERROR(__xludf.DUMMYFUNCTION("C491*IMPORTRANGE(""https://docs.google.com/spreadsheets/d/1xsp01RMmkav9iTy39Zaj_7tE9677EGlOJ14KU9TZn7I"",""T1254"")"),16.9980209599999)</f>
        <v>16.998020959999899</v>
      </c>
      <c r="F497" s="110">
        <f ca="1">IFERROR(__xludf.DUMMYFUNCTION("C491*IMPORTRANGE(""https://docs.google.com/spreadsheets/d/1xsp01RMmkav9iTy39Zaj_7tE9677EGlOJ14KU9TZn7I"",""AC1254"")"),2781.9781641)</f>
        <v>2781.9781641</v>
      </c>
      <c r="G497" s="126" t="s">
        <v>8</v>
      </c>
      <c r="I497" s="3"/>
      <c r="J497" s="3"/>
      <c r="K497" s="4"/>
    </row>
    <row r="498" spans="1:11" ht="13.2" x14ac:dyDescent="0.25">
      <c r="A498" s="141">
        <v>45160</v>
      </c>
      <c r="B498" s="107">
        <v>227</v>
      </c>
      <c r="C498" s="98">
        <f>22132.8/1000</f>
        <v>22.1328</v>
      </c>
      <c r="D498" s="111">
        <f ca="1">IFERROR(__xludf.DUMMYFUNCTION("C492*IMPORTRANGE(""https://docs.google.com/spreadsheets/d/1xsp01RMmkav9iTy39Zaj_7tE9677EGlOJ14KU9TZn7I"",""H1278"")"),21.780003168)</f>
        <v>21.780003168</v>
      </c>
      <c r="E498" s="111">
        <f ca="1">IFERROR(__xludf.DUMMYFUNCTION("C492*IMPORTRANGE(""https://docs.google.com/spreadsheets/d/1xsp01RMmkav9iTy39Zaj_7tE9677EGlOJ14KU9TZn7I"",""T1278"")"),18.352960416)</f>
        <v>18.352960415999998</v>
      </c>
      <c r="F498" s="111">
        <f ca="1">IFERROR(__xludf.DUMMYFUNCTION("C492*IMPORTRANGE(""https://docs.google.com/spreadsheets/d/1xsp01RMmkav9iTy39Zaj_7tE9677EGlOJ14KU9TZn7I"",""AC1278"")"),2986.6885632)</f>
        <v>2986.6885631999999</v>
      </c>
      <c r="G498" s="128" t="s">
        <v>8</v>
      </c>
      <c r="I498" s="3"/>
      <c r="J498" s="3"/>
      <c r="K498" s="4"/>
    </row>
    <row r="499" spans="1:11" ht="13.2" x14ac:dyDescent="0.25">
      <c r="A499" s="142">
        <v>45191</v>
      </c>
      <c r="B499" s="106">
        <v>229</v>
      </c>
      <c r="C499" s="88">
        <f>27927.7/1000</f>
        <v>27.927700000000002</v>
      </c>
      <c r="D499" s="110">
        <f ca="1">IFERROR(__xludf.DUMMYFUNCTION("C493*IMPORTRANGE(""https://docs.google.com/spreadsheets/d/1xsp01RMmkav9iTy39Zaj_7tE9677EGlOJ14KU9TZn7I"",""H1301"")"),28.035500922)</f>
        <v>28.035500922000001</v>
      </c>
      <c r="E499" s="110">
        <f ca="1">IFERROR(__xludf.DUMMYFUNCTION("C493*IMPORTRANGE(""https://docs.google.com/spreadsheets/d/1xsp01RMmkav9iTy39Zaj_7tE9677EGlOJ14KU9TZn7I"",""T1301"")"),24.3620309025)</f>
        <v>24.362030902499999</v>
      </c>
      <c r="F499" s="110">
        <f ca="1">IFERROR(__xludf.DUMMYFUNCTION("C493*IMPORTRANGE(""https://docs.google.com/spreadsheets/d/1xsp01RMmkav9iTy39Zaj_7tE9677EGlOJ14KU9TZn7I"",""AC1301"")"),4001.8718438)</f>
        <v>4001.8718438000001</v>
      </c>
      <c r="G499" s="126" t="s">
        <v>8</v>
      </c>
      <c r="I499" s="3"/>
      <c r="J499" s="3"/>
      <c r="K499" s="4"/>
    </row>
    <row r="500" spans="1:11" ht="13.2" x14ac:dyDescent="0.25">
      <c r="A500" s="141">
        <v>45221</v>
      </c>
      <c r="B500" s="107">
        <v>236</v>
      </c>
      <c r="C500" s="98">
        <f>22471.9/1000</f>
        <v>22.471900000000002</v>
      </c>
      <c r="D500" s="111">
        <f ca="1">IFERROR(__xludf.DUMMYFUNCTION("C494*IMPORTRANGE(""https://docs.google.com/spreadsheets/d/1xsp01RMmkav9iTy39Zaj_7tE9677EGlOJ14KU9TZn7I"",""H1323"")"),22.855720052)</f>
        <v>22.855720051999999</v>
      </c>
      <c r="E500" s="111">
        <f ca="1">IFERROR(__xludf.DUMMYFUNCTION("C494*IMPORTRANGE(""https://docs.google.com/spreadsheets/d/1xsp01RMmkav9iTy39Zaj_7tE9677EGlOJ14KU9TZn7I"",""T1323"")"),19.873024765)</f>
        <v>19.873024765</v>
      </c>
      <c r="F500" s="111">
        <f ca="1">IFERROR(__xludf.DUMMYFUNCTION("C494*IMPORTRANGE(""https://docs.google.com/spreadsheets/d/1xsp01RMmkav9iTy39Zaj_7tE9677EGlOJ14KU9TZn7I"",""AC1323"")"),3297.4591903)</f>
        <v>3297.4591903</v>
      </c>
      <c r="G500" s="128" t="s">
        <v>8</v>
      </c>
      <c r="I500" s="3"/>
      <c r="J500" s="3"/>
      <c r="K500" s="4"/>
    </row>
    <row r="501" spans="1:11" ht="13.2" x14ac:dyDescent="0.25">
      <c r="A501" s="142">
        <v>45252</v>
      </c>
      <c r="B501" s="106">
        <v>235</v>
      </c>
      <c r="C501" s="88">
        <f>45085.3/1000</f>
        <v>45.085300000000004</v>
      </c>
      <c r="D501" s="110">
        <f ca="1">IFERROR(__xludf.DUMMYFUNCTION("C495*IMPORTRANGE(""https://docs.google.com/spreadsheets/d/1xsp01RMmkav9iTy39Zaj_7tE9677EGlOJ14KU9TZn7I"",""H1346"")"),43.7077186585)</f>
        <v>43.707718658499999</v>
      </c>
      <c r="E501" s="110">
        <f ca="1">IFERROR(__xludf.DUMMYFUNCTION("C495*IMPORTRANGE(""https://docs.google.com/spreadsheets/d/1xsp01RMmkav9iTy39Zaj_7tE9677EGlOJ14KU9TZn7I"",""T1346"")"),38.16470645)</f>
        <v>38.164706449999997</v>
      </c>
      <c r="F501" s="110">
        <f ca="1">IFERROR(__xludf.DUMMYFUNCTION("C495*IMPORTRANGE(""https://docs.google.com/spreadsheets/d/1xsp01RMmkav9iTy39Zaj_7tE9677EGlOJ14KU9TZn7I"",""AC1346"")"),6347.26633255)</f>
        <v>6347.2663325499998</v>
      </c>
      <c r="G501" s="126" t="s">
        <v>8</v>
      </c>
      <c r="I501" s="3"/>
      <c r="J501" s="3"/>
      <c r="K501" s="4"/>
    </row>
    <row r="502" spans="1:11" ht="13.2" x14ac:dyDescent="0.25">
      <c r="A502" s="143">
        <v>45282</v>
      </c>
      <c r="B502" s="108">
        <v>279</v>
      </c>
      <c r="C502" s="101">
        <f>22879.4/1000</f>
        <v>22.8794</v>
      </c>
      <c r="D502" s="112">
        <f ca="1">IFERROR(__xludf.DUMMYFUNCTION("C496*IMPORTRANGE(""https://docs.google.com/spreadsheets/d/1xsp01RMmkav9iTy39Zaj_7tE9677EGlOJ14KU9TZn7I"",""H1369"")"),21.5706983199999)</f>
        <v>21.570698319999899</v>
      </c>
      <c r="E502" s="112">
        <f ca="1">IFERROR(__xludf.DUMMYFUNCTION("C496*IMPORTRANGE(""https://docs.google.com/spreadsheets/d/1xsp01RMmkav9iTy39Zaj_7tE9677EGlOJ14KU9TZn7I"",""T1369"")"),18.792567175)</f>
        <v>18.792567174999999</v>
      </c>
      <c r="F502" s="112">
        <f ca="1">IFERROR(__xludf.DUMMYFUNCTION("C496*IMPORTRANGE(""https://docs.google.com/spreadsheets/d/1xsp01RMmkav9iTy39Zaj_7tE9677EGlOJ14KU9TZn7I"",""AC1369"")"),3099.3808004)</f>
        <v>3099.3808004000002</v>
      </c>
      <c r="G502" s="129" t="s">
        <v>8</v>
      </c>
      <c r="I502" s="3"/>
      <c r="J502" s="3"/>
      <c r="K502" s="4"/>
    </row>
    <row r="503" spans="1:11" ht="13.2" x14ac:dyDescent="0.25">
      <c r="A503" s="120"/>
      <c r="B503" s="121"/>
      <c r="C503" s="139"/>
      <c r="D503" s="139"/>
      <c r="E503" s="139"/>
      <c r="F503" s="139"/>
      <c r="G503" s="123"/>
      <c r="I503" s="45" t="s">
        <v>428</v>
      </c>
      <c r="J503" s="151" t="s">
        <v>1</v>
      </c>
      <c r="K503" s="155" t="s">
        <v>427</v>
      </c>
    </row>
    <row r="504" spans="1:11" ht="13.2" x14ac:dyDescent="0.25">
      <c r="A504" s="140">
        <v>44949</v>
      </c>
      <c r="B504" s="105">
        <v>200</v>
      </c>
      <c r="C504" s="85">
        <f>5582.3/1000</f>
        <v>5.5823</v>
      </c>
      <c r="D504" s="109">
        <f ca="1">IFERROR(__xludf.DUMMYFUNCTION("C498*IMPORTRANGE(""https://docs.google.com/spreadsheets/d/1xsp01RMmkav9iTy39Zaj_7tE9677EGlOJ14KU9TZn7I"",""H1393"")"),5.1634321195)</f>
        <v>5.1634321195000004</v>
      </c>
      <c r="E504" s="109">
        <f ca="1">IFERROR(__xludf.DUMMYFUNCTION("C498*IMPORTRANGE(""https://docs.google.com/spreadsheets/d/1xsp01RMmkav9iTy39Zaj_7tE9677EGlOJ14KU9TZn7I"",""T1393"")"),4.567326214)</f>
        <v>4.5673262140000004</v>
      </c>
      <c r="F504" s="109">
        <f ca="1">IFERROR(__xludf.DUMMYFUNCTION("C498*IMPORTRANGE(""https://docs.google.com/spreadsheets/d/1xsp01RMmkav9iTy39Zaj_7tE9677EGlOJ14KU9TZn7I"",""AC1393"")"),727.7030512823)</f>
        <v>727.70305128229995</v>
      </c>
      <c r="G504" s="124" t="s">
        <v>8</v>
      </c>
      <c r="I504" s="153"/>
      <c r="J504" s="154">
        <f t="shared" ref="J504:K504" si="1">SUM(B504:B514)</f>
        <v>2287</v>
      </c>
      <c r="K504" s="86">
        <f t="shared" si="1"/>
        <v>319.11199999999997</v>
      </c>
    </row>
    <row r="505" spans="1:11" ht="13.2" x14ac:dyDescent="0.25">
      <c r="A505" s="141">
        <v>44980</v>
      </c>
      <c r="B505" s="107">
        <v>222</v>
      </c>
      <c r="C505" s="98">
        <f>20673.3/1000</f>
        <v>20.673299999999998</v>
      </c>
      <c r="D505" s="111">
        <f ca="1">IFERROR(__xludf.DUMMYFUNCTION("C499*IMPORTRANGE(""https://docs.google.com/spreadsheets/d/1xsp01RMmkav9iTy39Zaj_7tE9677EGlOJ14KU9TZn7I"",""H1414"")"),19.29232356)</f>
        <v>19.29232356</v>
      </c>
      <c r="E505" s="111">
        <f ca="1">IFERROR(__xludf.DUMMYFUNCTION("C499*IMPORTRANGE(""https://docs.google.com/spreadsheets/d/1xsp01RMmkav9iTy39Zaj_7tE9677EGlOJ14KU9TZn7I"",""T1414"")"),17.1513966119999)</f>
        <v>17.1513966119999</v>
      </c>
      <c r="F505" s="111">
        <f ca="1">IFERROR(__xludf.DUMMYFUNCTION("C499*IMPORTRANGE(""https://docs.google.com/spreadsheets/d/1xsp01RMmkav9iTy39Zaj_7tE9677EGlOJ14KU9TZn7I"",""AC1414"")"),2745.5589531)</f>
        <v>2745.5589531000001</v>
      </c>
      <c r="G505" s="128" t="s">
        <v>8</v>
      </c>
    </row>
    <row r="506" spans="1:11" ht="13.2" x14ac:dyDescent="0.25">
      <c r="A506" s="142">
        <v>45008</v>
      </c>
      <c r="B506" s="106">
        <v>261</v>
      </c>
      <c r="C506" s="88">
        <f>31426.2/1000</f>
        <v>31.426200000000001</v>
      </c>
      <c r="D506" s="110">
        <f ca="1">IFERROR(__xludf.DUMMYFUNCTION("C500*IMPORTRANGE(""https://docs.google.com/spreadsheets/d/1xsp01RMmkav9iTy39Zaj_7tE9677EGlOJ14KU9TZn7I"",""H1438"")"),29.40235272)</f>
        <v>29.40235272</v>
      </c>
      <c r="E506" s="110">
        <f ca="1">IFERROR(__xludf.DUMMYFUNCTION("C500*IMPORTRANGE(""https://docs.google.com/spreadsheets/d/1xsp01RMmkav9iTy39Zaj_7tE9677EGlOJ14KU9TZn7I"",""T1438"")"),25.86061998)</f>
        <v>25.860619979999999</v>
      </c>
      <c r="F506" s="110">
        <f ca="1">IFERROR(__xludf.DUMMYFUNCTION("C500*IMPORTRANGE(""https://docs.google.com/spreadsheets/d/1xsp01RMmkav9iTy39Zaj_7tE9677EGlOJ14KU9TZn7I"",""AC1438"")"),4186.0013919048)</f>
        <v>4186.0013919047997</v>
      </c>
      <c r="G506" s="126" t="s">
        <v>8</v>
      </c>
    </row>
    <row r="507" spans="1:11" ht="13.2" x14ac:dyDescent="0.25">
      <c r="A507" s="141">
        <v>45039</v>
      </c>
      <c r="B507" s="107">
        <v>196</v>
      </c>
      <c r="C507" s="98">
        <f>47163.7/1000</f>
        <v>47.163699999999999</v>
      </c>
      <c r="D507" s="111">
        <f ca="1">IFERROR(__xludf.DUMMYFUNCTION("C501*IMPORTRANGE(""https://docs.google.com/spreadsheets/d/1xsp01RMmkav9iTy39Zaj_7tE9677EGlOJ14KU9TZn7I"",""H1459"")"),43.010936215)</f>
        <v>43.010936215000001</v>
      </c>
      <c r="E507" s="111">
        <f ca="1">IFERROR(__xludf.DUMMYFUNCTION("C501*IMPORTRANGE(""https://docs.google.com/spreadsheets/d/1xsp01RMmkav9iTy39Zaj_7tE9677EGlOJ14KU9TZn7I"",""T1459"")"),37.9272317375499)</f>
        <v>37.927231737549903</v>
      </c>
      <c r="F507" s="111">
        <f ca="1">IFERROR(__xludf.DUMMYFUNCTION("C501*IMPORTRANGE(""https://docs.google.com/spreadsheets/d/1xsp01RMmkav9iTy39Zaj_7tE9677EGlOJ14KU9TZn7I"",""AC1459"")"),6297.8393235678)</f>
        <v>6297.8393235678004</v>
      </c>
      <c r="G507" s="128" t="s">
        <v>8</v>
      </c>
    </row>
    <row r="508" spans="1:11" ht="13.2" x14ac:dyDescent="0.25">
      <c r="A508" s="144">
        <v>45069</v>
      </c>
      <c r="B508" s="106">
        <v>209</v>
      </c>
      <c r="C508" s="88">
        <f>39283.2/1000</f>
        <v>39.283199999999994</v>
      </c>
      <c r="D508" s="110">
        <f ca="1">IFERROR(__xludf.DUMMYFUNCTION("C502*IMPORTRANGE(""https://docs.google.com/spreadsheets/d/1xsp01RMmkav9iTy39Zaj_7tE9677EGlOJ14KU9TZn7I"",""H1483"")"),36.1535074559999)</f>
        <v>36.1535074559999</v>
      </c>
      <c r="E508" s="110">
        <f ca="1">IFERROR(__xludf.DUMMYFUNCTION("C502*IMPORTRANGE(""https://docs.google.com/spreadsheets/d/1xsp01RMmkav9iTy39Zaj_7tE9677EGlOJ14KU9TZn7I"",""T1483"")"),31.4698500863999)</f>
        <v>31.469850086399902</v>
      </c>
      <c r="F508" s="110">
        <f ca="1">IFERROR(__xludf.DUMMYFUNCTION("C502*IMPORTRANGE(""https://docs.google.com/spreadsheets/d/1xsp01RMmkav9iTy39Zaj_7tE9677EGlOJ14KU9TZn7I"",""AC1483"")"),5360.82117119999)</f>
        <v>5360.8211711999902</v>
      </c>
      <c r="G508" s="126" t="s">
        <v>8</v>
      </c>
    </row>
    <row r="509" spans="1:11" ht="13.2" x14ac:dyDescent="0.25">
      <c r="A509" s="145">
        <v>45100</v>
      </c>
      <c r="B509" s="107">
        <v>203</v>
      </c>
      <c r="C509" s="98">
        <f>26033.6/1000</f>
        <v>26.0336</v>
      </c>
      <c r="D509" s="111">
        <f ca="1">IFERROR(__xludf.DUMMYFUNCTION("C503*IMPORTRANGE(""https://docs.google.com/spreadsheets/d/1xsp01RMmkav9iTy39Zaj_7tE9677EGlOJ14KU9TZn7I"",""H1506"")"),24.00883676)</f>
        <v>24.008836760000001</v>
      </c>
      <c r="E509" s="111">
        <f ca="1">IFERROR(__xludf.DUMMYFUNCTION("C503*IMPORTRANGE(""https://docs.google.com/spreadsheets/d/1xsp01RMmkav9iTy39Zaj_7tE9677EGlOJ14KU9TZn7I"",""T1506"")"),20.610410616)</f>
        <v>20.610410615999999</v>
      </c>
      <c r="F509" s="111">
        <f ca="1">IFERROR(__xludf.DUMMYFUNCTION("C503*IMPORTRANGE(""https://docs.google.com/spreadsheets/d/1xsp01RMmkav9iTy39Zaj_7tE9677EGlOJ14KU9TZn7I"",""AC1506"")"),3650.8870581008)</f>
        <v>3650.8870581008</v>
      </c>
      <c r="G509" s="128" t="s">
        <v>8</v>
      </c>
    </row>
    <row r="510" spans="1:11" ht="13.2" x14ac:dyDescent="0.25">
      <c r="A510" s="142">
        <v>45130</v>
      </c>
      <c r="B510" s="106">
        <v>205</v>
      </c>
      <c r="C510" s="88">
        <f>14010.5/1000</f>
        <v>14.0105</v>
      </c>
      <c r="D510" s="110">
        <f ca="1">IFERROR(__xludf.DUMMYFUNCTION("C504*IMPORTRANGE(""https://docs.google.com/spreadsheets/d/1xsp01RMmkav9iTy39Zaj_7tE9677EGlOJ14KU9TZn7I"",""H1528"")"),12.67866187)</f>
        <v>12.678661869999999</v>
      </c>
      <c r="E510" s="110">
        <f ca="1">IFERROR(__xludf.DUMMYFUNCTION("C504*IMPORTRANGE(""https://docs.google.com/spreadsheets/d/1xsp01RMmkav9iTy39Zaj_7tE9677EGlOJ14KU9TZn7I"",""T1528"")"),10.89064186)</f>
        <v>10.890641860000001</v>
      </c>
      <c r="F510" s="110">
        <f ca="1">IFERROR(__xludf.DUMMYFUNCTION("C504*IMPORTRANGE(""https://docs.google.com/spreadsheets/d/1xsp01RMmkav9iTy39Zaj_7tE9677EGlOJ14KU9TZn7I"",""AC1528"")"),1974.261502437)</f>
        <v>1974.261502437</v>
      </c>
      <c r="G510" s="126" t="s">
        <v>8</v>
      </c>
    </row>
    <row r="511" spans="1:11" ht="13.2" x14ac:dyDescent="0.25">
      <c r="A511" s="146">
        <v>45161</v>
      </c>
      <c r="B511" s="107">
        <v>168</v>
      </c>
      <c r="C511" s="98">
        <f>25014.6/1000</f>
        <v>25.014599999999998</v>
      </c>
      <c r="D511" s="111">
        <f ca="1">IFERROR(__xludf.DUMMYFUNCTION("C505*IMPORTRANGE(""https://docs.google.com/spreadsheets/d/1xsp01RMmkav9iTy39Zaj_7tE9677EGlOJ14KU9TZn7I"",""H1552"")"),22.9283823599999)</f>
        <v>22.928382359999901</v>
      </c>
      <c r="E511" s="111">
        <f ca="1">IFERROR(__xludf.DUMMYFUNCTION("C505*IMPORTRANGE(""https://docs.google.com/spreadsheets/d/1xsp01RMmkav9iTy39Zaj_7tE9677EGlOJ14KU9TZn7I"",""T1552"")"),19.6649776439999)</f>
        <v>19.664977643999901</v>
      </c>
      <c r="F511" s="111">
        <f ca="1">IFERROR(__xludf.DUMMYFUNCTION("C505*IMPORTRANGE(""https://docs.google.com/spreadsheets/d/1xsp01RMmkav9iTy39Zaj_7tE9677EGlOJ14KU9TZn7I"",""AC1552"")"),3634.74627789779)</f>
        <v>3634.7462778977902</v>
      </c>
      <c r="G511" s="128" t="s">
        <v>8</v>
      </c>
    </row>
    <row r="512" spans="1:11" ht="13.2" x14ac:dyDescent="0.25">
      <c r="A512" s="142">
        <v>45192</v>
      </c>
      <c r="B512" s="87">
        <v>212</v>
      </c>
      <c r="C512" s="88">
        <f>17133.5/1000</f>
        <v>17.133500000000002</v>
      </c>
      <c r="D512" s="96">
        <f ca="1">IFERROR(__xludf.DUMMYFUNCTION("C506*IMPORTRANGE(""https://docs.google.com/spreadsheets/d/1xsp01RMmkav9iTy39Zaj_7tE9677EGlOJ14KU9TZn7I"",""H1574"")"),16.02359187)</f>
        <v>16.023591870000001</v>
      </c>
      <c r="E512" s="96">
        <f ca="1">IFERROR(__xludf.DUMMYFUNCTION("C506*IMPORTRANGE(""https://docs.google.com/spreadsheets/d/1xsp01RMmkav9iTy39Zaj_7tE9677EGlOJ14KU9TZn7I"",""T1574"")"),13.815255055)</f>
        <v>13.815255055</v>
      </c>
      <c r="F512" s="96">
        <f ca="1">IFERROR(__xludf.DUMMYFUNCTION("C506*IMPORTRANGE(""https://docs.google.com/spreadsheets/d/1xsp01RMmkav9iTy39Zaj_7tE9677EGlOJ14KU9TZn7I"",""AC1574"")"),2528.990198966)</f>
        <v>2528.9901989660002</v>
      </c>
      <c r="G512" s="126" t="s">
        <v>8</v>
      </c>
    </row>
    <row r="513" spans="1:11" ht="13.2" x14ac:dyDescent="0.25">
      <c r="A513" s="141">
        <v>45222</v>
      </c>
      <c r="B513" s="97">
        <v>184</v>
      </c>
      <c r="C513" s="98">
        <f>76761.1/1000</f>
        <v>76.761099999999999</v>
      </c>
      <c r="D513" s="98">
        <f ca="1">IFERROR(__xludf.DUMMYFUNCTION("C507*IMPORTRANGE(""https://docs.google.com/spreadsheets/d/1xsp01RMmkav9iTy39Zaj_7tE9677EGlOJ14KU9TZn7I"",""H1597"")"),72.647472651)</f>
        <v>72.647472651000001</v>
      </c>
      <c r="E513" s="98">
        <f ca="1">IFERROR(__xludf.DUMMYFUNCTION("C507*IMPORTRANGE(""https://docs.google.com/spreadsheets/d/1xsp01RMmkav9iTy39Zaj_7tE9677EGlOJ14KU9TZn7I"",""T1597"")"),63.110673587)</f>
        <v>63.110673587000001</v>
      </c>
      <c r="F513" s="98">
        <f ca="1">IFERROR(__xludf.DUMMYFUNCTION("C507*IMPORTRANGE(""https://docs.google.com/spreadsheets/d/1xsp01RMmkav9iTy39Zaj_7tE9677EGlOJ14KU9TZn7I"",""AC1597"")"),11494.0154415333)</f>
        <v>11494.0154415333</v>
      </c>
      <c r="G513" s="128" t="s">
        <v>8</v>
      </c>
    </row>
    <row r="514" spans="1:11" ht="13.2" x14ac:dyDescent="0.25">
      <c r="A514" s="142">
        <v>45253</v>
      </c>
      <c r="B514" s="87">
        <v>227</v>
      </c>
      <c r="C514" s="88">
        <f>16030/1000</f>
        <v>16.03</v>
      </c>
      <c r="D514" s="88">
        <f ca="1">IFERROR(__xludf.DUMMYFUNCTION("C508*IMPORTRANGE(""https://docs.google.com/spreadsheets/d/1xsp01RMmkav9iTy39Zaj_7tE9677EGlOJ14KU9TZn7I"",""H1620"")"),14.76851915)</f>
        <v>14.768519149999999</v>
      </c>
      <c r="E514" s="88">
        <f ca="1">IFERROR(__xludf.DUMMYFUNCTION("C508*IMPORTRANGE(""https://docs.google.com/spreadsheets/d/1xsp01RMmkav9iTy39Zaj_7tE9677EGlOJ14KU9TZn7I"",""T1620"")"),12.9079972)</f>
        <v>12.907997200000001</v>
      </c>
      <c r="F514" s="88">
        <f ca="1">IFERROR(__xludf.DUMMYFUNCTION("C508*IMPORTRANGE(""https://docs.google.com/spreadsheets/d/1xsp01RMmkav9iTy39Zaj_7tE9677EGlOJ14KU9TZn7I"",""AC1620"")"),2407.58572691)</f>
        <v>2407.5857269100002</v>
      </c>
      <c r="G514" s="126" t="s">
        <v>8</v>
      </c>
    </row>
    <row r="515" spans="1:11" ht="13.2" x14ac:dyDescent="0.25">
      <c r="A515" s="147">
        <v>45283</v>
      </c>
      <c r="B515" s="114">
        <v>177</v>
      </c>
      <c r="C515" s="101">
        <f>25779.1/1000</f>
        <v>25.7791</v>
      </c>
      <c r="D515" s="101">
        <f ca="1">IFERROR(__xludf.DUMMYFUNCTION("C275*IMPORTRANGE(""https://docs.google.com/spreadsheets/d/1xsp01RMmkav9iTy39Zaj_7tE9677EGlOJ14KU9TZn7I"",""H1642"")"),65.830163571)</f>
        <v>65.830163571</v>
      </c>
      <c r="E515" s="101">
        <f ca="1">IFERROR(__xludf.DUMMYFUNCTION("C275*IMPORTRANGE(""https://docs.google.com/spreadsheets/d/1xsp01RMmkav9iTy39Zaj_7tE9677EGlOJ14KU9TZn7I"",""T1642"")"),56.6904124799999)</f>
        <v>56.6904124799999</v>
      </c>
      <c r="F515" s="101">
        <f ca="1">IFERROR(__xludf.DUMMYFUNCTION("C275*IMPORTRANGE(""https://docs.google.com/spreadsheets/d/1xsp01RMmkav9iTy39Zaj_7tE9677EGlOJ14KU9TZn7I"",""AC1642"")"),10294.0002364814)</f>
        <v>10294.000236481401</v>
      </c>
      <c r="G515" s="129" t="s">
        <v>8</v>
      </c>
    </row>
    <row r="516" spans="1:11" ht="13.2" x14ac:dyDescent="0.25">
      <c r="A516" s="120"/>
      <c r="B516" s="121"/>
      <c r="C516" s="139"/>
      <c r="D516" s="139"/>
      <c r="E516" s="139"/>
      <c r="F516" s="139"/>
      <c r="G516" s="123"/>
      <c r="H516" s="3"/>
      <c r="I516" s="156" t="s">
        <v>429</v>
      </c>
      <c r="J516" s="151" t="s">
        <v>1</v>
      </c>
      <c r="K516" s="155" t="s">
        <v>427</v>
      </c>
    </row>
    <row r="517" spans="1:11" ht="13.2" x14ac:dyDescent="0.25">
      <c r="A517" s="148">
        <v>45322</v>
      </c>
      <c r="B517" s="84">
        <v>161</v>
      </c>
      <c r="C517" s="85">
        <f>7835/1000</f>
        <v>7.835</v>
      </c>
      <c r="D517" s="115">
        <f ca="1">IFERROR(__xludf.DUMMYFUNCTION("C511*IMPORTRANGE(""https://docs.google.com/spreadsheets/d/1xsp01RMmkav9iTy39Zaj_7tE9677EGlOJ14KU9TZn7I"",""H1667"")"),7.1698085)</f>
        <v>7.1698085000000003</v>
      </c>
      <c r="E517" s="115">
        <f ca="1">IFERROR(__xludf.DUMMYFUNCTION("C511*IMPORTRANGE(""https://docs.google.com/spreadsheets/d/1xsp01RMmkav9iTy39Zaj_7tE9677EGlOJ14KU9TZn7I"",""T1667"")"),6.16449965)</f>
        <v>6.1644996499999998</v>
      </c>
      <c r="F517" s="115">
        <f ca="1">IFERROR(__xludf.DUMMYFUNCTION("C511*IMPORTRANGE(""https://docs.google.com/spreadsheets/d/1xsp01RMmkav9iTy39Zaj_7tE9677EGlOJ14KU9TZn7I"",""AC1667"")"),1142.29603701)</f>
        <v>1142.29603701</v>
      </c>
      <c r="G517" s="124" t="s">
        <v>8</v>
      </c>
      <c r="H517" s="3"/>
      <c r="I517" s="153"/>
      <c r="J517" s="154">
        <f t="shared" ref="J517:K517" si="2">SUM(B517:B519)</f>
        <v>538</v>
      </c>
      <c r="K517" s="86">
        <f t="shared" si="2"/>
        <v>25.0749</v>
      </c>
    </row>
    <row r="518" spans="1:11" ht="13.2" x14ac:dyDescent="0.25">
      <c r="A518" s="149">
        <v>45323</v>
      </c>
      <c r="B518" s="97">
        <v>212</v>
      </c>
      <c r="C518" s="98">
        <f>9011.5/1000</f>
        <v>9.0114999999999998</v>
      </c>
      <c r="D518" s="117">
        <f ca="1">IFERROR(__xludf.DUMMYFUNCTION("C512*IMPORTRANGE(""https://docs.google.com/spreadsheets/d/1xsp01RMmkav9iTy39Zaj_7tE9677EGlOJ14KU9TZn7I"",""H1689"")"),8.350506475)</f>
        <v>8.3505064749999995</v>
      </c>
      <c r="E518" s="117">
        <f ca="1">IFERROR(__xludf.DUMMYFUNCTION("C512*IMPORTRANGE(""https://docs.google.com/spreadsheets/d/1xsp01RMmkav9iTy39Zaj_7tE9677EGlOJ14KU9TZn7I"",""T1689"")"),7.136477195)</f>
        <v>7.1364771950000003</v>
      </c>
      <c r="F518" s="117">
        <f ca="1">IFERROR(__xludf.DUMMYFUNCTION("C512*IMPORTRANGE(""https://docs.google.com/spreadsheets/d/1xsp01RMmkav9iTy39Zaj_7tE9677EGlOJ14KU9TZn7I"",""AC1689"")"),1351.2068117155)</f>
        <v>1351.2068117155</v>
      </c>
      <c r="G518" s="128" t="s">
        <v>8</v>
      </c>
      <c r="H518" s="3"/>
      <c r="I518" s="3"/>
      <c r="J518" s="3"/>
      <c r="K518" s="3"/>
    </row>
    <row r="519" spans="1:11" ht="13.2" x14ac:dyDescent="0.25">
      <c r="A519" s="150">
        <v>45352</v>
      </c>
      <c r="B519" s="87">
        <v>165</v>
      </c>
      <c r="C519" s="88">
        <f>8228.4/1000</f>
        <v>8.2283999999999988</v>
      </c>
      <c r="D519" s="116">
        <f ca="1">IFERROR(__xludf.DUMMYFUNCTION("C513*IMPORTRANGE(""https://docs.google.com/spreadsheets/d/1xsp01RMmkav9iTy39Zaj_7tE9677EGlOJ14KU9TZn7I"",""H1712"")"),7.57448905199999)</f>
        <v>7.5744890519999899</v>
      </c>
      <c r="E519" s="116">
        <f ca="1">IFERROR(__xludf.DUMMYFUNCTION("C513*IMPORTRANGE(""https://docs.google.com/spreadsheets/d/1xsp01RMmkav9iTy39Zaj_7tE9677EGlOJ14KU9TZn7I"",""T1712"")"),6.46916807999999)</f>
        <v>6.4691680799999904</v>
      </c>
      <c r="F519" s="116">
        <f ca="1">IFERROR(__xludf.DUMMYFUNCTION("C513*IMPORTRANGE(""https://docs.google.com/spreadsheets/d/1xsp01RMmkav9iTy39Zaj_7tE9677EGlOJ14KU9TZn7I"",""AC1712"")"),1235.08282765739)</f>
        <v>1235.08282765739</v>
      </c>
      <c r="G519" s="126" t="s">
        <v>8</v>
      </c>
      <c r="H519" s="3"/>
      <c r="I519" s="3"/>
      <c r="J519" s="3"/>
      <c r="K519" s="3"/>
    </row>
    <row r="520" spans="1:11" ht="13.2" x14ac:dyDescent="0.25">
      <c r="A520" s="118"/>
      <c r="B520" s="118"/>
      <c r="C520" s="118"/>
      <c r="D520" s="118"/>
      <c r="E520" s="118"/>
      <c r="F520" s="118"/>
      <c r="G520" s="119"/>
    </row>
    <row r="521" spans="1:11" ht="13.2" x14ac:dyDescent="0.25">
      <c r="A521" s="118"/>
      <c r="B521" s="118"/>
      <c r="C521" s="118"/>
      <c r="D521" s="118"/>
      <c r="E521" s="118"/>
      <c r="F521" s="118"/>
      <c r="G521" s="119"/>
    </row>
    <row r="522" spans="1:11" ht="13.2" x14ac:dyDescent="0.25">
      <c r="A522" s="118"/>
      <c r="B522" s="118"/>
      <c r="C522" s="118"/>
      <c r="D522" s="118"/>
      <c r="E522" s="118"/>
      <c r="F522" s="118"/>
      <c r="G522" s="119"/>
    </row>
    <row r="523" spans="1:11" ht="13.2" x14ac:dyDescent="0.25">
      <c r="A523" s="118"/>
      <c r="B523" s="118"/>
      <c r="C523" s="118"/>
      <c r="D523" s="118"/>
      <c r="E523" s="118"/>
      <c r="F523" s="118"/>
      <c r="G523" s="119"/>
    </row>
    <row r="524" spans="1:11" ht="13.2" x14ac:dyDescent="0.25">
      <c r="A524" s="118"/>
      <c r="B524" s="118"/>
      <c r="C524" s="118"/>
      <c r="D524" s="118"/>
      <c r="E524" s="118"/>
      <c r="F524" s="118"/>
      <c r="G524" s="119"/>
    </row>
    <row r="525" spans="1:11" ht="13.2" x14ac:dyDescent="0.25">
      <c r="A525" s="118"/>
      <c r="B525" s="118"/>
      <c r="C525" s="118"/>
      <c r="D525" s="118"/>
      <c r="E525" s="118"/>
      <c r="F525" s="118"/>
      <c r="G525" s="119"/>
    </row>
    <row r="526" spans="1:11" ht="13.2" x14ac:dyDescent="0.25">
      <c r="A526" s="118"/>
      <c r="B526" s="118"/>
      <c r="C526" s="118"/>
      <c r="D526" s="118"/>
      <c r="E526" s="118"/>
      <c r="F526" s="118"/>
      <c r="G526" s="119"/>
    </row>
    <row r="527" spans="1:11" ht="13.2" x14ac:dyDescent="0.25">
      <c r="A527" s="118"/>
      <c r="B527" s="118"/>
      <c r="C527" s="118"/>
      <c r="D527" s="118"/>
      <c r="E527" s="118"/>
      <c r="F527" s="118"/>
      <c r="G527" s="119"/>
    </row>
    <row r="528" spans="1:11" ht="13.2" x14ac:dyDescent="0.25">
      <c r="A528" s="118"/>
      <c r="B528" s="118"/>
      <c r="C528" s="118"/>
      <c r="D528" s="118"/>
      <c r="E528" s="118"/>
      <c r="F528" s="118"/>
      <c r="G528" s="119"/>
    </row>
    <row r="529" spans="7:7" ht="13.2" x14ac:dyDescent="0.25">
      <c r="G529" s="3"/>
    </row>
    <row r="530" spans="7:7" ht="13.2" x14ac:dyDescent="0.25">
      <c r="G530" s="3"/>
    </row>
    <row r="531" spans="7:7" ht="13.2" x14ac:dyDescent="0.25">
      <c r="G531" s="3"/>
    </row>
    <row r="532" spans="7:7" ht="13.2" x14ac:dyDescent="0.25">
      <c r="G532" s="3"/>
    </row>
    <row r="533" spans="7:7" ht="13.2" x14ac:dyDescent="0.25">
      <c r="G533" s="3"/>
    </row>
    <row r="534" spans="7:7" ht="13.2" x14ac:dyDescent="0.25">
      <c r="G534" s="3"/>
    </row>
    <row r="535" spans="7:7" ht="13.2" x14ac:dyDescent="0.25">
      <c r="G535" s="3"/>
    </row>
    <row r="536" spans="7:7" ht="13.2" x14ac:dyDescent="0.25">
      <c r="G536" s="3"/>
    </row>
    <row r="537" spans="7:7" ht="13.2" x14ac:dyDescent="0.25">
      <c r="G537" s="3"/>
    </row>
    <row r="538" spans="7:7" ht="13.2" x14ac:dyDescent="0.25">
      <c r="G538" s="3"/>
    </row>
    <row r="539" spans="7:7" ht="13.2" x14ac:dyDescent="0.25">
      <c r="G539" s="3"/>
    </row>
    <row r="540" spans="7:7" ht="13.2" x14ac:dyDescent="0.25">
      <c r="G540" s="3"/>
    </row>
    <row r="541" spans="7:7" ht="13.2" x14ac:dyDescent="0.25">
      <c r="G541" s="3"/>
    </row>
    <row r="542" spans="7:7" ht="13.2" x14ac:dyDescent="0.25">
      <c r="G542" s="3"/>
    </row>
    <row r="543" spans="7:7" ht="13.2" x14ac:dyDescent="0.25">
      <c r="G543" s="3"/>
    </row>
    <row r="544" spans="7:7" ht="13.2" x14ac:dyDescent="0.25">
      <c r="G544" s="3"/>
    </row>
    <row r="545" spans="7:7" ht="13.2" x14ac:dyDescent="0.25">
      <c r="G545" s="3"/>
    </row>
    <row r="546" spans="7:7" ht="13.2" x14ac:dyDescent="0.25">
      <c r="G546" s="3"/>
    </row>
    <row r="547" spans="7:7" ht="13.2" x14ac:dyDescent="0.25">
      <c r="G547" s="3"/>
    </row>
    <row r="548" spans="7:7" ht="13.2" x14ac:dyDescent="0.25">
      <c r="G548" s="3"/>
    </row>
    <row r="549" spans="7:7" ht="13.2" x14ac:dyDescent="0.25">
      <c r="G549" s="3"/>
    </row>
    <row r="550" spans="7:7" ht="13.2" x14ac:dyDescent="0.25">
      <c r="G550" s="3"/>
    </row>
    <row r="551" spans="7:7" ht="13.2" x14ac:dyDescent="0.25">
      <c r="G551" s="3"/>
    </row>
    <row r="552" spans="7:7" ht="13.2" x14ac:dyDescent="0.25">
      <c r="G552" s="3"/>
    </row>
    <row r="553" spans="7:7" ht="13.2" x14ac:dyDescent="0.25">
      <c r="G553" s="3"/>
    </row>
    <row r="554" spans="7:7" ht="13.2" x14ac:dyDescent="0.25">
      <c r="G554" s="3"/>
    </row>
    <row r="555" spans="7:7" ht="13.2" x14ac:dyDescent="0.25">
      <c r="G555" s="3"/>
    </row>
    <row r="556" spans="7:7" ht="13.2" x14ac:dyDescent="0.25">
      <c r="G556" s="3"/>
    </row>
    <row r="557" spans="7:7" ht="13.2" x14ac:dyDescent="0.25">
      <c r="G557" s="3"/>
    </row>
    <row r="558" spans="7:7" ht="13.2" x14ac:dyDescent="0.25">
      <c r="G558" s="3"/>
    </row>
    <row r="559" spans="7:7" ht="13.2" x14ac:dyDescent="0.25">
      <c r="G559" s="3"/>
    </row>
    <row r="560" spans="7:7" ht="13.2" x14ac:dyDescent="0.25">
      <c r="G560" s="3"/>
    </row>
    <row r="561" spans="7:7" ht="13.2" x14ac:dyDescent="0.25">
      <c r="G561" s="3"/>
    </row>
    <row r="562" spans="7:7" ht="13.2" x14ac:dyDescent="0.25">
      <c r="G562" s="3"/>
    </row>
    <row r="563" spans="7:7" ht="13.2" x14ac:dyDescent="0.25">
      <c r="G563" s="3"/>
    </row>
    <row r="564" spans="7:7" ht="13.2" x14ac:dyDescent="0.25">
      <c r="G564" s="3"/>
    </row>
    <row r="565" spans="7:7" ht="13.2" x14ac:dyDescent="0.25">
      <c r="G565" s="3"/>
    </row>
    <row r="566" spans="7:7" ht="13.2" x14ac:dyDescent="0.25">
      <c r="G566" s="3"/>
    </row>
    <row r="567" spans="7:7" ht="13.2" x14ac:dyDescent="0.25">
      <c r="G567" s="3"/>
    </row>
    <row r="568" spans="7:7" ht="13.2" x14ac:dyDescent="0.25">
      <c r="G568" s="3"/>
    </row>
    <row r="569" spans="7:7" ht="13.2" x14ac:dyDescent="0.25">
      <c r="G569" s="3"/>
    </row>
    <row r="570" spans="7:7" ht="13.2" x14ac:dyDescent="0.25">
      <c r="G570" s="3"/>
    </row>
    <row r="571" spans="7:7" ht="13.2" x14ac:dyDescent="0.25">
      <c r="G571" s="3"/>
    </row>
    <row r="572" spans="7:7" ht="13.2" x14ac:dyDescent="0.25">
      <c r="G572" s="3"/>
    </row>
    <row r="573" spans="7:7" ht="13.2" x14ac:dyDescent="0.25">
      <c r="G573" s="3"/>
    </row>
    <row r="574" spans="7:7" ht="13.2" x14ac:dyDescent="0.25">
      <c r="G574" s="3"/>
    </row>
    <row r="575" spans="7:7" ht="13.2" x14ac:dyDescent="0.25">
      <c r="G575" s="3"/>
    </row>
    <row r="576" spans="7:7" ht="13.2" x14ac:dyDescent="0.25">
      <c r="G576" s="3"/>
    </row>
    <row r="577" spans="7:7" ht="13.2" x14ac:dyDescent="0.25">
      <c r="G577" s="3"/>
    </row>
    <row r="578" spans="7:7" ht="13.2" x14ac:dyDescent="0.25">
      <c r="G578" s="3"/>
    </row>
    <row r="579" spans="7:7" ht="13.2" x14ac:dyDescent="0.25">
      <c r="G579" s="3"/>
    </row>
    <row r="580" spans="7:7" ht="13.2" x14ac:dyDescent="0.25">
      <c r="G580" s="3"/>
    </row>
    <row r="581" spans="7:7" ht="13.2" x14ac:dyDescent="0.25">
      <c r="G581" s="3"/>
    </row>
    <row r="582" spans="7:7" ht="13.2" x14ac:dyDescent="0.25">
      <c r="G582" s="3"/>
    </row>
    <row r="583" spans="7:7" ht="13.2" x14ac:dyDescent="0.25">
      <c r="G583" s="3"/>
    </row>
    <row r="584" spans="7:7" ht="13.2" x14ac:dyDescent="0.25">
      <c r="G584" s="3"/>
    </row>
    <row r="585" spans="7:7" ht="13.2" x14ac:dyDescent="0.25">
      <c r="G585" s="3"/>
    </row>
    <row r="586" spans="7:7" ht="13.2" x14ac:dyDescent="0.25">
      <c r="G586" s="3"/>
    </row>
    <row r="587" spans="7:7" ht="13.2" x14ac:dyDescent="0.25">
      <c r="G587" s="3"/>
    </row>
    <row r="588" spans="7:7" ht="13.2" x14ac:dyDescent="0.25">
      <c r="G588" s="3"/>
    </row>
    <row r="589" spans="7:7" ht="13.2" x14ac:dyDescent="0.25">
      <c r="G589" s="3"/>
    </row>
    <row r="590" spans="7:7" ht="13.2" x14ac:dyDescent="0.25">
      <c r="G590" s="3"/>
    </row>
    <row r="591" spans="7:7" ht="13.2" x14ac:dyDescent="0.25">
      <c r="G591" s="3"/>
    </row>
    <row r="592" spans="7:7" ht="13.2" x14ac:dyDescent="0.25">
      <c r="G592" s="3"/>
    </row>
    <row r="593" spans="7:7" ht="13.2" x14ac:dyDescent="0.25">
      <c r="G593" s="3"/>
    </row>
    <row r="594" spans="7:7" ht="13.2" x14ac:dyDescent="0.25">
      <c r="G594" s="3"/>
    </row>
    <row r="595" spans="7:7" ht="13.2" x14ac:dyDescent="0.25">
      <c r="G595" s="3"/>
    </row>
    <row r="596" spans="7:7" ht="13.2" x14ac:dyDescent="0.25">
      <c r="G596" s="3"/>
    </row>
    <row r="597" spans="7:7" ht="13.2" x14ac:dyDescent="0.25">
      <c r="G597" s="3"/>
    </row>
    <row r="598" spans="7:7" ht="13.2" x14ac:dyDescent="0.25">
      <c r="G598" s="3"/>
    </row>
    <row r="599" spans="7:7" ht="13.2" x14ac:dyDescent="0.25">
      <c r="G599" s="3"/>
    </row>
    <row r="600" spans="7:7" ht="13.2" x14ac:dyDescent="0.25">
      <c r="G600" s="3"/>
    </row>
    <row r="601" spans="7:7" ht="13.2" x14ac:dyDescent="0.25">
      <c r="G601" s="3"/>
    </row>
    <row r="602" spans="7:7" ht="13.2" x14ac:dyDescent="0.25">
      <c r="G602" s="3"/>
    </row>
    <row r="603" spans="7:7" ht="13.2" x14ac:dyDescent="0.25">
      <c r="G603" s="3"/>
    </row>
    <row r="604" spans="7:7" ht="13.2" x14ac:dyDescent="0.25">
      <c r="G604" s="3"/>
    </row>
    <row r="605" spans="7:7" ht="13.2" x14ac:dyDescent="0.25">
      <c r="G605" s="3"/>
    </row>
    <row r="606" spans="7:7" ht="13.2" x14ac:dyDescent="0.25">
      <c r="G606" s="3"/>
    </row>
    <row r="607" spans="7:7" ht="13.2" x14ac:dyDescent="0.25">
      <c r="G607" s="3"/>
    </row>
    <row r="608" spans="7:7" ht="13.2" x14ac:dyDescent="0.25">
      <c r="G608" s="3"/>
    </row>
    <row r="609" spans="7:7" ht="13.2" x14ac:dyDescent="0.25">
      <c r="G609" s="3"/>
    </row>
    <row r="610" spans="7:7" ht="13.2" x14ac:dyDescent="0.25">
      <c r="G610" s="3"/>
    </row>
    <row r="611" spans="7:7" ht="13.2" x14ac:dyDescent="0.25">
      <c r="G611" s="3"/>
    </row>
    <row r="612" spans="7:7" ht="13.2" x14ac:dyDescent="0.25">
      <c r="G612" s="3"/>
    </row>
    <row r="613" spans="7:7" ht="13.2" x14ac:dyDescent="0.25">
      <c r="G613" s="3"/>
    </row>
    <row r="614" spans="7:7" ht="13.2" x14ac:dyDescent="0.25">
      <c r="G614" s="3"/>
    </row>
    <row r="615" spans="7:7" ht="13.2" x14ac:dyDescent="0.25">
      <c r="G615" s="3"/>
    </row>
    <row r="616" spans="7:7" ht="13.2" x14ac:dyDescent="0.25">
      <c r="G616" s="3"/>
    </row>
    <row r="617" spans="7:7" ht="13.2" x14ac:dyDescent="0.25">
      <c r="G617" s="3"/>
    </row>
    <row r="618" spans="7:7" ht="13.2" x14ac:dyDescent="0.25">
      <c r="G618" s="3"/>
    </row>
    <row r="619" spans="7:7" ht="13.2" x14ac:dyDescent="0.25">
      <c r="G619" s="3"/>
    </row>
    <row r="620" spans="7:7" ht="13.2" x14ac:dyDescent="0.25">
      <c r="G620" s="3"/>
    </row>
    <row r="621" spans="7:7" ht="13.2" x14ac:dyDescent="0.25">
      <c r="G621" s="3"/>
    </row>
    <row r="622" spans="7:7" ht="13.2" x14ac:dyDescent="0.25">
      <c r="G622" s="3"/>
    </row>
    <row r="623" spans="7:7" ht="13.2" x14ac:dyDescent="0.25">
      <c r="G623" s="3"/>
    </row>
    <row r="624" spans="7:7" ht="13.2" x14ac:dyDescent="0.25">
      <c r="G624" s="3"/>
    </row>
    <row r="625" spans="7:7" ht="13.2" x14ac:dyDescent="0.25">
      <c r="G625" s="3"/>
    </row>
    <row r="626" spans="7:7" ht="13.2" x14ac:dyDescent="0.25">
      <c r="G626" s="3"/>
    </row>
    <row r="627" spans="7:7" ht="13.2" x14ac:dyDescent="0.25">
      <c r="G627" s="3"/>
    </row>
    <row r="628" spans="7:7" ht="13.2" x14ac:dyDescent="0.25">
      <c r="G628" s="3"/>
    </row>
    <row r="629" spans="7:7" ht="13.2" x14ac:dyDescent="0.25">
      <c r="G629" s="3"/>
    </row>
    <row r="630" spans="7:7" ht="13.2" x14ac:dyDescent="0.25">
      <c r="G630" s="3"/>
    </row>
    <row r="631" spans="7:7" ht="13.2" x14ac:dyDescent="0.25">
      <c r="G631" s="3"/>
    </row>
    <row r="632" spans="7:7" ht="13.2" x14ac:dyDescent="0.25">
      <c r="G632" s="3"/>
    </row>
    <row r="633" spans="7:7" ht="13.2" x14ac:dyDescent="0.25">
      <c r="G633" s="3"/>
    </row>
    <row r="634" spans="7:7" ht="13.2" x14ac:dyDescent="0.25">
      <c r="G634" s="3"/>
    </row>
    <row r="635" spans="7:7" ht="13.2" x14ac:dyDescent="0.25">
      <c r="G635" s="3"/>
    </row>
    <row r="636" spans="7:7" ht="13.2" x14ac:dyDescent="0.25">
      <c r="G636" s="3"/>
    </row>
    <row r="637" spans="7:7" ht="13.2" x14ac:dyDescent="0.25">
      <c r="G637" s="3"/>
    </row>
    <row r="638" spans="7:7" ht="13.2" x14ac:dyDescent="0.25">
      <c r="G638" s="3"/>
    </row>
    <row r="639" spans="7:7" ht="13.2" x14ac:dyDescent="0.25">
      <c r="G639" s="3"/>
    </row>
    <row r="640" spans="7:7" ht="13.2" x14ac:dyDescent="0.25">
      <c r="G640" s="3"/>
    </row>
    <row r="641" spans="7:7" ht="13.2" x14ac:dyDescent="0.25">
      <c r="G641" s="3"/>
    </row>
    <row r="642" spans="7:7" ht="13.2" x14ac:dyDescent="0.25">
      <c r="G642" s="3"/>
    </row>
    <row r="643" spans="7:7" ht="13.2" x14ac:dyDescent="0.25">
      <c r="G643" s="3"/>
    </row>
    <row r="644" spans="7:7" ht="13.2" x14ac:dyDescent="0.25">
      <c r="G644" s="3"/>
    </row>
    <row r="645" spans="7:7" ht="13.2" x14ac:dyDescent="0.25">
      <c r="G645" s="3"/>
    </row>
    <row r="646" spans="7:7" ht="13.2" x14ac:dyDescent="0.25">
      <c r="G646" s="3"/>
    </row>
    <row r="647" spans="7:7" ht="13.2" x14ac:dyDescent="0.25">
      <c r="G647" s="3"/>
    </row>
    <row r="648" spans="7:7" ht="13.2" x14ac:dyDescent="0.25">
      <c r="G648" s="3"/>
    </row>
    <row r="649" spans="7:7" ht="13.2" x14ac:dyDescent="0.25">
      <c r="G649" s="3"/>
    </row>
    <row r="650" spans="7:7" ht="13.2" x14ac:dyDescent="0.25">
      <c r="G650" s="3"/>
    </row>
    <row r="651" spans="7:7" ht="13.2" x14ac:dyDescent="0.25">
      <c r="G651" s="3"/>
    </row>
    <row r="652" spans="7:7" ht="13.2" x14ac:dyDescent="0.25">
      <c r="G652" s="3"/>
    </row>
    <row r="653" spans="7:7" ht="13.2" x14ac:dyDescent="0.25">
      <c r="G653" s="3"/>
    </row>
    <row r="654" spans="7:7" ht="13.2" x14ac:dyDescent="0.25">
      <c r="G654" s="3"/>
    </row>
    <row r="655" spans="7:7" ht="13.2" x14ac:dyDescent="0.25">
      <c r="G655" s="3"/>
    </row>
    <row r="656" spans="7:7" ht="13.2" x14ac:dyDescent="0.25">
      <c r="G656" s="3"/>
    </row>
    <row r="657" spans="7:7" ht="13.2" x14ac:dyDescent="0.25">
      <c r="G657" s="3"/>
    </row>
    <row r="658" spans="7:7" ht="13.2" x14ac:dyDescent="0.25">
      <c r="G658" s="3"/>
    </row>
    <row r="659" spans="7:7" ht="13.2" x14ac:dyDescent="0.25">
      <c r="G659" s="3"/>
    </row>
    <row r="660" spans="7:7" ht="13.2" x14ac:dyDescent="0.25">
      <c r="G660" s="3"/>
    </row>
    <row r="661" spans="7:7" ht="13.2" x14ac:dyDescent="0.25">
      <c r="G661" s="3"/>
    </row>
    <row r="662" spans="7:7" ht="13.2" x14ac:dyDescent="0.25">
      <c r="G662" s="3"/>
    </row>
    <row r="663" spans="7:7" ht="13.2" x14ac:dyDescent="0.25">
      <c r="G663" s="3"/>
    </row>
    <row r="664" spans="7:7" ht="13.2" x14ac:dyDescent="0.25">
      <c r="G664" s="3"/>
    </row>
    <row r="665" spans="7:7" ht="13.2" x14ac:dyDescent="0.25">
      <c r="G665" s="3"/>
    </row>
    <row r="666" spans="7:7" ht="13.2" x14ac:dyDescent="0.25">
      <c r="G666" s="3"/>
    </row>
    <row r="667" spans="7:7" ht="13.2" x14ac:dyDescent="0.25">
      <c r="G667" s="3"/>
    </row>
    <row r="668" spans="7:7" ht="13.2" x14ac:dyDescent="0.25">
      <c r="G668" s="3"/>
    </row>
    <row r="669" spans="7:7" ht="13.2" x14ac:dyDescent="0.25">
      <c r="G669" s="3"/>
    </row>
    <row r="670" spans="7:7" ht="13.2" x14ac:dyDescent="0.25">
      <c r="G670" s="3"/>
    </row>
    <row r="671" spans="7:7" ht="13.2" x14ac:dyDescent="0.25">
      <c r="G671" s="3"/>
    </row>
    <row r="672" spans="7:7" ht="13.2" x14ac:dyDescent="0.25">
      <c r="G672" s="3"/>
    </row>
    <row r="673" spans="7:7" ht="13.2" x14ac:dyDescent="0.25">
      <c r="G673" s="3"/>
    </row>
    <row r="674" spans="7:7" ht="13.2" x14ac:dyDescent="0.25">
      <c r="G674" s="3"/>
    </row>
    <row r="675" spans="7:7" ht="13.2" x14ac:dyDescent="0.25">
      <c r="G675" s="3"/>
    </row>
    <row r="676" spans="7:7" ht="13.2" x14ac:dyDescent="0.25">
      <c r="G676" s="3"/>
    </row>
    <row r="677" spans="7:7" ht="13.2" x14ac:dyDescent="0.25">
      <c r="G677" s="3"/>
    </row>
    <row r="678" spans="7:7" ht="13.2" x14ac:dyDescent="0.25">
      <c r="G678" s="3"/>
    </row>
    <row r="679" spans="7:7" ht="13.2" x14ac:dyDescent="0.25">
      <c r="G679" s="3"/>
    </row>
    <row r="680" spans="7:7" ht="13.2" x14ac:dyDescent="0.25">
      <c r="G680" s="3"/>
    </row>
    <row r="681" spans="7:7" ht="13.2" x14ac:dyDescent="0.25">
      <c r="G681" s="3"/>
    </row>
    <row r="682" spans="7:7" ht="13.2" x14ac:dyDescent="0.25">
      <c r="G682" s="3"/>
    </row>
    <row r="683" spans="7:7" ht="13.2" x14ac:dyDescent="0.25">
      <c r="G683" s="3"/>
    </row>
    <row r="684" spans="7:7" ht="13.2" x14ac:dyDescent="0.25">
      <c r="G684" s="3"/>
    </row>
    <row r="685" spans="7:7" ht="13.2" x14ac:dyDescent="0.25">
      <c r="G685" s="3"/>
    </row>
    <row r="686" spans="7:7" ht="13.2" x14ac:dyDescent="0.25">
      <c r="G686" s="3"/>
    </row>
    <row r="687" spans="7:7" ht="13.2" x14ac:dyDescent="0.25">
      <c r="G687" s="3"/>
    </row>
    <row r="688" spans="7:7" ht="13.2" x14ac:dyDescent="0.25">
      <c r="G688" s="3"/>
    </row>
    <row r="689" spans="7:7" ht="13.2" x14ac:dyDescent="0.25">
      <c r="G689" s="3"/>
    </row>
    <row r="690" spans="7:7" ht="13.2" x14ac:dyDescent="0.25">
      <c r="G690" s="3"/>
    </row>
    <row r="691" spans="7:7" ht="13.2" x14ac:dyDescent="0.25">
      <c r="G691" s="3"/>
    </row>
    <row r="692" spans="7:7" ht="13.2" x14ac:dyDescent="0.25">
      <c r="G692" s="3"/>
    </row>
    <row r="693" spans="7:7" ht="13.2" x14ac:dyDescent="0.25">
      <c r="G693" s="3"/>
    </row>
    <row r="694" spans="7:7" ht="13.2" x14ac:dyDescent="0.25">
      <c r="G694" s="3"/>
    </row>
    <row r="695" spans="7:7" ht="13.2" x14ac:dyDescent="0.25">
      <c r="G695" s="3"/>
    </row>
    <row r="696" spans="7:7" ht="13.2" x14ac:dyDescent="0.25">
      <c r="G696" s="3"/>
    </row>
    <row r="697" spans="7:7" ht="13.2" x14ac:dyDescent="0.25">
      <c r="G697" s="3"/>
    </row>
    <row r="698" spans="7:7" ht="13.2" x14ac:dyDescent="0.25">
      <c r="G698" s="3"/>
    </row>
    <row r="699" spans="7:7" ht="13.2" x14ac:dyDescent="0.25">
      <c r="G699" s="3"/>
    </row>
    <row r="700" spans="7:7" ht="13.2" x14ac:dyDescent="0.25">
      <c r="G700" s="3"/>
    </row>
    <row r="701" spans="7:7" ht="13.2" x14ac:dyDescent="0.25">
      <c r="G701" s="3"/>
    </row>
    <row r="702" spans="7:7" ht="13.2" x14ac:dyDescent="0.25">
      <c r="G702" s="3"/>
    </row>
    <row r="703" spans="7:7" ht="13.2" x14ac:dyDescent="0.25">
      <c r="G703" s="3"/>
    </row>
    <row r="704" spans="7:7" ht="13.2" x14ac:dyDescent="0.25">
      <c r="G704" s="3"/>
    </row>
    <row r="705" spans="7:7" ht="13.2" x14ac:dyDescent="0.25">
      <c r="G705" s="3"/>
    </row>
    <row r="706" spans="7:7" ht="13.2" x14ac:dyDescent="0.25">
      <c r="G706" s="3"/>
    </row>
    <row r="707" spans="7:7" ht="13.2" x14ac:dyDescent="0.25">
      <c r="G707" s="3"/>
    </row>
    <row r="708" spans="7:7" ht="13.2" x14ac:dyDescent="0.25">
      <c r="G708" s="3"/>
    </row>
    <row r="709" spans="7:7" ht="13.2" x14ac:dyDescent="0.25">
      <c r="G709" s="3"/>
    </row>
    <row r="710" spans="7:7" ht="13.2" x14ac:dyDescent="0.25">
      <c r="G710" s="3"/>
    </row>
    <row r="711" spans="7:7" ht="13.2" x14ac:dyDescent="0.25">
      <c r="G711" s="3"/>
    </row>
    <row r="712" spans="7:7" ht="13.2" x14ac:dyDescent="0.25">
      <c r="G712" s="3"/>
    </row>
    <row r="713" spans="7:7" ht="13.2" x14ac:dyDescent="0.25">
      <c r="G713" s="3"/>
    </row>
    <row r="714" spans="7:7" ht="13.2" x14ac:dyDescent="0.25">
      <c r="G714" s="3"/>
    </row>
    <row r="715" spans="7:7" ht="13.2" x14ac:dyDescent="0.25">
      <c r="G715" s="3"/>
    </row>
    <row r="716" spans="7:7" ht="13.2" x14ac:dyDescent="0.25">
      <c r="G716" s="3"/>
    </row>
    <row r="717" spans="7:7" ht="13.2" x14ac:dyDescent="0.25">
      <c r="G717" s="3"/>
    </row>
    <row r="718" spans="7:7" ht="13.2" x14ac:dyDescent="0.25">
      <c r="G718" s="3"/>
    </row>
    <row r="719" spans="7:7" ht="13.2" x14ac:dyDescent="0.25">
      <c r="G719" s="3"/>
    </row>
    <row r="720" spans="7:7" ht="13.2" x14ac:dyDescent="0.25">
      <c r="G720" s="3"/>
    </row>
    <row r="721" spans="7:7" ht="13.2" x14ac:dyDescent="0.25">
      <c r="G721" s="3"/>
    </row>
    <row r="722" spans="7:7" ht="13.2" x14ac:dyDescent="0.25">
      <c r="G722" s="3"/>
    </row>
    <row r="723" spans="7:7" ht="13.2" x14ac:dyDescent="0.25">
      <c r="G723" s="3"/>
    </row>
    <row r="724" spans="7:7" ht="13.2" x14ac:dyDescent="0.25">
      <c r="G724" s="3"/>
    </row>
    <row r="725" spans="7:7" ht="13.2" x14ac:dyDescent="0.25">
      <c r="G725" s="3"/>
    </row>
    <row r="726" spans="7:7" ht="13.2" x14ac:dyDescent="0.25">
      <c r="G726" s="3"/>
    </row>
    <row r="727" spans="7:7" ht="13.2" x14ac:dyDescent="0.25">
      <c r="G727" s="3"/>
    </row>
    <row r="728" spans="7:7" ht="13.2" x14ac:dyDescent="0.25">
      <c r="G728" s="3"/>
    </row>
    <row r="729" spans="7:7" ht="13.2" x14ac:dyDescent="0.25">
      <c r="G729" s="3"/>
    </row>
    <row r="730" spans="7:7" ht="13.2" x14ac:dyDescent="0.25">
      <c r="G730" s="3"/>
    </row>
    <row r="731" spans="7:7" ht="13.2" x14ac:dyDescent="0.25">
      <c r="G731" s="3"/>
    </row>
    <row r="732" spans="7:7" ht="13.2" x14ac:dyDescent="0.25">
      <c r="G732" s="3"/>
    </row>
    <row r="733" spans="7:7" ht="13.2" x14ac:dyDescent="0.25">
      <c r="G733" s="3"/>
    </row>
    <row r="734" spans="7:7" ht="13.2" x14ac:dyDescent="0.25">
      <c r="G734" s="3"/>
    </row>
    <row r="735" spans="7:7" ht="13.2" x14ac:dyDescent="0.25">
      <c r="G735" s="3"/>
    </row>
    <row r="736" spans="7:7" ht="13.2" x14ac:dyDescent="0.25">
      <c r="G736" s="3"/>
    </row>
    <row r="737" spans="7:7" ht="13.2" x14ac:dyDescent="0.25">
      <c r="G737" s="3"/>
    </row>
    <row r="738" spans="7:7" ht="13.2" x14ac:dyDescent="0.25">
      <c r="G738" s="3"/>
    </row>
    <row r="739" spans="7:7" ht="13.2" x14ac:dyDescent="0.25">
      <c r="G739" s="3"/>
    </row>
    <row r="740" spans="7:7" ht="13.2" x14ac:dyDescent="0.25">
      <c r="G740" s="3"/>
    </row>
    <row r="741" spans="7:7" ht="13.2" x14ac:dyDescent="0.25">
      <c r="G741" s="3"/>
    </row>
    <row r="742" spans="7:7" ht="13.2" x14ac:dyDescent="0.25">
      <c r="G742" s="3"/>
    </row>
    <row r="743" spans="7:7" ht="13.2" x14ac:dyDescent="0.25">
      <c r="G743" s="3"/>
    </row>
    <row r="744" spans="7:7" ht="13.2" x14ac:dyDescent="0.25">
      <c r="G744" s="3"/>
    </row>
    <row r="745" spans="7:7" ht="13.2" x14ac:dyDescent="0.25">
      <c r="G745" s="3"/>
    </row>
    <row r="746" spans="7:7" ht="13.2" x14ac:dyDescent="0.25">
      <c r="G746" s="3"/>
    </row>
    <row r="747" spans="7:7" ht="13.2" x14ac:dyDescent="0.25">
      <c r="G747" s="3"/>
    </row>
    <row r="748" spans="7:7" ht="13.2" x14ac:dyDescent="0.25">
      <c r="G748" s="3"/>
    </row>
    <row r="749" spans="7:7" ht="13.2" x14ac:dyDescent="0.25">
      <c r="G749" s="3"/>
    </row>
    <row r="750" spans="7:7" ht="13.2" x14ac:dyDescent="0.25">
      <c r="G750" s="3"/>
    </row>
    <row r="751" spans="7:7" ht="13.2" x14ac:dyDescent="0.25">
      <c r="G751" s="3"/>
    </row>
    <row r="752" spans="7:7" ht="13.2" x14ac:dyDescent="0.25">
      <c r="G752" s="3"/>
    </row>
    <row r="753" spans="7:7" ht="13.2" x14ac:dyDescent="0.25">
      <c r="G753" s="3"/>
    </row>
    <row r="754" spans="7:7" ht="13.2" x14ac:dyDescent="0.25">
      <c r="G754" s="3"/>
    </row>
    <row r="755" spans="7:7" ht="13.2" x14ac:dyDescent="0.25">
      <c r="G755" s="3"/>
    </row>
    <row r="756" spans="7:7" ht="13.2" x14ac:dyDescent="0.25">
      <c r="G756" s="3"/>
    </row>
    <row r="757" spans="7:7" ht="13.2" x14ac:dyDescent="0.25">
      <c r="G757" s="3"/>
    </row>
    <row r="758" spans="7:7" ht="13.2" x14ac:dyDescent="0.25">
      <c r="G758" s="3"/>
    </row>
    <row r="759" spans="7:7" ht="13.2" x14ac:dyDescent="0.25">
      <c r="G759" s="3"/>
    </row>
    <row r="760" spans="7:7" ht="13.2" x14ac:dyDescent="0.25">
      <c r="G760" s="3"/>
    </row>
    <row r="761" spans="7:7" ht="13.2" x14ac:dyDescent="0.25">
      <c r="G761" s="3"/>
    </row>
    <row r="762" spans="7:7" ht="13.2" x14ac:dyDescent="0.25">
      <c r="G762" s="3"/>
    </row>
    <row r="763" spans="7:7" ht="13.2" x14ac:dyDescent="0.25">
      <c r="G763" s="3"/>
    </row>
    <row r="764" spans="7:7" ht="13.2" x14ac:dyDescent="0.25">
      <c r="G764" s="3"/>
    </row>
    <row r="765" spans="7:7" ht="13.2" x14ac:dyDescent="0.25">
      <c r="G765" s="3"/>
    </row>
    <row r="766" spans="7:7" ht="13.2" x14ac:dyDescent="0.25">
      <c r="G766" s="3"/>
    </row>
    <row r="767" spans="7:7" ht="13.2" x14ac:dyDescent="0.25">
      <c r="G767" s="3"/>
    </row>
    <row r="768" spans="7:7" ht="13.2" x14ac:dyDescent="0.25">
      <c r="G768" s="3"/>
    </row>
    <row r="769" spans="7:7" ht="13.2" x14ac:dyDescent="0.25">
      <c r="G769" s="3"/>
    </row>
    <row r="770" spans="7:7" ht="13.2" x14ac:dyDescent="0.25">
      <c r="G770" s="3"/>
    </row>
    <row r="771" spans="7:7" ht="13.2" x14ac:dyDescent="0.25">
      <c r="G771" s="3"/>
    </row>
    <row r="772" spans="7:7" ht="13.2" x14ac:dyDescent="0.25">
      <c r="G772" s="3"/>
    </row>
    <row r="773" spans="7:7" ht="13.2" x14ac:dyDescent="0.25">
      <c r="G773" s="3"/>
    </row>
    <row r="774" spans="7:7" ht="13.2" x14ac:dyDescent="0.25">
      <c r="G774" s="3"/>
    </row>
    <row r="775" spans="7:7" ht="13.2" x14ac:dyDescent="0.25">
      <c r="G775" s="3"/>
    </row>
    <row r="776" spans="7:7" ht="13.2" x14ac:dyDescent="0.25">
      <c r="G776" s="3"/>
    </row>
    <row r="777" spans="7:7" ht="13.2" x14ac:dyDescent="0.25">
      <c r="G777" s="3"/>
    </row>
    <row r="778" spans="7:7" ht="13.2" x14ac:dyDescent="0.25">
      <c r="G778" s="3"/>
    </row>
    <row r="779" spans="7:7" ht="13.2" x14ac:dyDescent="0.25">
      <c r="G779" s="3"/>
    </row>
    <row r="780" spans="7:7" ht="13.2" x14ac:dyDescent="0.25">
      <c r="G780" s="3"/>
    </row>
    <row r="781" spans="7:7" ht="13.2" x14ac:dyDescent="0.25">
      <c r="G781" s="3"/>
    </row>
    <row r="782" spans="7:7" ht="13.2" x14ac:dyDescent="0.25">
      <c r="G782" s="3"/>
    </row>
    <row r="783" spans="7:7" ht="13.2" x14ac:dyDescent="0.25">
      <c r="G783" s="3"/>
    </row>
    <row r="784" spans="7:7" ht="13.2" x14ac:dyDescent="0.25">
      <c r="G784" s="3"/>
    </row>
    <row r="785" spans="7:7" ht="13.2" x14ac:dyDescent="0.25">
      <c r="G785" s="3"/>
    </row>
    <row r="786" spans="7:7" ht="13.2" x14ac:dyDescent="0.25">
      <c r="G786" s="3"/>
    </row>
    <row r="787" spans="7:7" ht="13.2" x14ac:dyDescent="0.25">
      <c r="G787" s="3"/>
    </row>
    <row r="788" spans="7:7" ht="13.2" x14ac:dyDescent="0.25">
      <c r="G788" s="3"/>
    </row>
    <row r="789" spans="7:7" ht="13.2" x14ac:dyDescent="0.25">
      <c r="G789" s="3"/>
    </row>
    <row r="790" spans="7:7" ht="13.2" x14ac:dyDescent="0.25">
      <c r="G790" s="3"/>
    </row>
    <row r="791" spans="7:7" ht="13.2" x14ac:dyDescent="0.25">
      <c r="G791" s="3"/>
    </row>
    <row r="792" spans="7:7" ht="13.2" x14ac:dyDescent="0.25">
      <c r="G792" s="3"/>
    </row>
    <row r="793" spans="7:7" ht="13.2" x14ac:dyDescent="0.25">
      <c r="G793" s="3"/>
    </row>
    <row r="794" spans="7:7" ht="13.2" x14ac:dyDescent="0.25">
      <c r="G794" s="3"/>
    </row>
    <row r="795" spans="7:7" ht="13.2" x14ac:dyDescent="0.25">
      <c r="G795" s="3"/>
    </row>
    <row r="796" spans="7:7" ht="13.2" x14ac:dyDescent="0.25">
      <c r="G796" s="3"/>
    </row>
    <row r="797" spans="7:7" ht="13.2" x14ac:dyDescent="0.25">
      <c r="G797" s="3"/>
    </row>
    <row r="798" spans="7:7" ht="13.2" x14ac:dyDescent="0.25">
      <c r="G798" s="3"/>
    </row>
    <row r="799" spans="7:7" ht="13.2" x14ac:dyDescent="0.25">
      <c r="G799" s="3"/>
    </row>
    <row r="800" spans="7:7" ht="13.2" x14ac:dyDescent="0.25">
      <c r="G800" s="3"/>
    </row>
    <row r="801" spans="7:7" ht="13.2" x14ac:dyDescent="0.25">
      <c r="G801" s="3"/>
    </row>
    <row r="802" spans="7:7" ht="13.2" x14ac:dyDescent="0.25">
      <c r="G802" s="3"/>
    </row>
    <row r="803" spans="7:7" ht="13.2" x14ac:dyDescent="0.25">
      <c r="G803" s="3"/>
    </row>
    <row r="804" spans="7:7" ht="13.2" x14ac:dyDescent="0.25">
      <c r="G804" s="3"/>
    </row>
    <row r="805" spans="7:7" ht="13.2" x14ac:dyDescent="0.25">
      <c r="G805" s="3"/>
    </row>
    <row r="806" spans="7:7" ht="13.2" x14ac:dyDescent="0.25">
      <c r="G806" s="3"/>
    </row>
    <row r="807" spans="7:7" ht="13.2" x14ac:dyDescent="0.25">
      <c r="G807" s="3"/>
    </row>
    <row r="808" spans="7:7" ht="13.2" x14ac:dyDescent="0.25">
      <c r="G808" s="3"/>
    </row>
    <row r="809" spans="7:7" ht="13.2" x14ac:dyDescent="0.25">
      <c r="G809" s="3"/>
    </row>
    <row r="810" spans="7:7" ht="13.2" x14ac:dyDescent="0.25">
      <c r="G810" s="3"/>
    </row>
    <row r="811" spans="7:7" ht="13.2" x14ac:dyDescent="0.25">
      <c r="G811" s="3"/>
    </row>
    <row r="812" spans="7:7" ht="13.2" x14ac:dyDescent="0.25">
      <c r="G812" s="3"/>
    </row>
    <row r="813" spans="7:7" ht="13.2" x14ac:dyDescent="0.25">
      <c r="G813" s="3"/>
    </row>
    <row r="814" spans="7:7" ht="13.2" x14ac:dyDescent="0.25">
      <c r="G814" s="3"/>
    </row>
    <row r="815" spans="7:7" ht="13.2" x14ac:dyDescent="0.25">
      <c r="G815" s="3"/>
    </row>
    <row r="816" spans="7:7" ht="13.2" x14ac:dyDescent="0.25">
      <c r="G816" s="3"/>
    </row>
    <row r="817" spans="7:7" ht="13.2" x14ac:dyDescent="0.25">
      <c r="G817" s="3"/>
    </row>
    <row r="818" spans="7:7" ht="13.2" x14ac:dyDescent="0.25">
      <c r="G818" s="3"/>
    </row>
    <row r="819" spans="7:7" ht="13.2" x14ac:dyDescent="0.25">
      <c r="G819" s="3"/>
    </row>
    <row r="820" spans="7:7" ht="13.2" x14ac:dyDescent="0.25">
      <c r="G820" s="3"/>
    </row>
    <row r="821" spans="7:7" ht="13.2" x14ac:dyDescent="0.25">
      <c r="G821" s="3"/>
    </row>
    <row r="822" spans="7:7" ht="13.2" x14ac:dyDescent="0.25">
      <c r="G822" s="3"/>
    </row>
    <row r="823" spans="7:7" ht="13.2" x14ac:dyDescent="0.25">
      <c r="G823" s="3"/>
    </row>
    <row r="824" spans="7:7" ht="13.2" x14ac:dyDescent="0.25">
      <c r="G824" s="3"/>
    </row>
    <row r="825" spans="7:7" ht="13.2" x14ac:dyDescent="0.25">
      <c r="G825" s="3"/>
    </row>
    <row r="826" spans="7:7" ht="13.2" x14ac:dyDescent="0.25">
      <c r="G826" s="3"/>
    </row>
    <row r="827" spans="7:7" ht="13.2" x14ac:dyDescent="0.25">
      <c r="G827" s="3"/>
    </row>
    <row r="828" spans="7:7" ht="13.2" x14ac:dyDescent="0.25">
      <c r="G828" s="3"/>
    </row>
    <row r="829" spans="7:7" ht="13.2" x14ac:dyDescent="0.25">
      <c r="G829" s="3"/>
    </row>
    <row r="830" spans="7:7" ht="13.2" x14ac:dyDescent="0.25">
      <c r="G830" s="3"/>
    </row>
    <row r="831" spans="7:7" ht="13.2" x14ac:dyDescent="0.25">
      <c r="G831" s="3"/>
    </row>
    <row r="832" spans="7:7" ht="13.2" x14ac:dyDescent="0.25">
      <c r="G832" s="3"/>
    </row>
    <row r="833" spans="7:7" ht="13.2" x14ac:dyDescent="0.25">
      <c r="G833" s="3"/>
    </row>
    <row r="834" spans="7:7" ht="13.2" x14ac:dyDescent="0.25">
      <c r="G834" s="3"/>
    </row>
    <row r="835" spans="7:7" ht="13.2" x14ac:dyDescent="0.25">
      <c r="G835" s="3"/>
    </row>
    <row r="836" spans="7:7" ht="13.2" x14ac:dyDescent="0.25">
      <c r="G836" s="3"/>
    </row>
    <row r="837" spans="7:7" ht="13.2" x14ac:dyDescent="0.25">
      <c r="G837" s="3"/>
    </row>
    <row r="838" spans="7:7" ht="13.2" x14ac:dyDescent="0.25">
      <c r="G838" s="3"/>
    </row>
    <row r="839" spans="7:7" ht="13.2" x14ac:dyDescent="0.25">
      <c r="G839" s="3"/>
    </row>
    <row r="840" spans="7:7" ht="13.2" x14ac:dyDescent="0.25">
      <c r="G840" s="3"/>
    </row>
    <row r="841" spans="7:7" ht="13.2" x14ac:dyDescent="0.25">
      <c r="G841" s="3"/>
    </row>
    <row r="842" spans="7:7" ht="13.2" x14ac:dyDescent="0.25">
      <c r="G842" s="3"/>
    </row>
    <row r="843" spans="7:7" ht="13.2" x14ac:dyDescent="0.25">
      <c r="G843" s="3"/>
    </row>
    <row r="844" spans="7:7" ht="13.2" x14ac:dyDescent="0.25">
      <c r="G844" s="3"/>
    </row>
    <row r="845" spans="7:7" ht="13.2" x14ac:dyDescent="0.25">
      <c r="G845" s="3"/>
    </row>
    <row r="846" spans="7:7" ht="13.2" x14ac:dyDescent="0.25">
      <c r="G846" s="3"/>
    </row>
    <row r="847" spans="7:7" ht="13.2" x14ac:dyDescent="0.25">
      <c r="G847" s="3"/>
    </row>
    <row r="848" spans="7:7" ht="13.2" x14ac:dyDescent="0.25">
      <c r="G848" s="3"/>
    </row>
    <row r="849" spans="7:7" ht="13.2" x14ac:dyDescent="0.25">
      <c r="G849" s="3"/>
    </row>
    <row r="850" spans="7:7" ht="13.2" x14ac:dyDescent="0.25">
      <c r="G850" s="3"/>
    </row>
    <row r="851" spans="7:7" ht="13.2" x14ac:dyDescent="0.25">
      <c r="G851" s="3"/>
    </row>
    <row r="852" spans="7:7" ht="13.2" x14ac:dyDescent="0.25">
      <c r="G852" s="3"/>
    </row>
    <row r="853" spans="7:7" ht="13.2" x14ac:dyDescent="0.25">
      <c r="G853" s="3"/>
    </row>
    <row r="854" spans="7:7" ht="13.2" x14ac:dyDescent="0.25">
      <c r="G854" s="3"/>
    </row>
    <row r="855" spans="7:7" ht="13.2" x14ac:dyDescent="0.25">
      <c r="G855" s="3"/>
    </row>
    <row r="856" spans="7:7" ht="13.2" x14ac:dyDescent="0.25">
      <c r="G856" s="3"/>
    </row>
    <row r="857" spans="7:7" ht="13.2" x14ac:dyDescent="0.25">
      <c r="G857" s="3"/>
    </row>
    <row r="858" spans="7:7" ht="13.2" x14ac:dyDescent="0.25">
      <c r="G858" s="3"/>
    </row>
    <row r="859" spans="7:7" ht="13.2" x14ac:dyDescent="0.25">
      <c r="G859" s="3"/>
    </row>
    <row r="860" spans="7:7" ht="13.2" x14ac:dyDescent="0.25">
      <c r="G860" s="3"/>
    </row>
    <row r="861" spans="7:7" ht="13.2" x14ac:dyDescent="0.25">
      <c r="G861" s="3"/>
    </row>
    <row r="862" spans="7:7" ht="13.2" x14ac:dyDescent="0.25">
      <c r="G862" s="3"/>
    </row>
    <row r="863" spans="7:7" ht="13.2" x14ac:dyDescent="0.25">
      <c r="G863" s="3"/>
    </row>
    <row r="864" spans="7:7" ht="13.2" x14ac:dyDescent="0.25">
      <c r="G864" s="3"/>
    </row>
    <row r="865" spans="7:7" ht="13.2" x14ac:dyDescent="0.25">
      <c r="G865" s="3"/>
    </row>
    <row r="866" spans="7:7" ht="13.2" x14ac:dyDescent="0.25">
      <c r="G866" s="3"/>
    </row>
    <row r="867" spans="7:7" ht="13.2" x14ac:dyDescent="0.25">
      <c r="G867" s="3"/>
    </row>
    <row r="868" spans="7:7" ht="13.2" x14ac:dyDescent="0.25">
      <c r="G868" s="3"/>
    </row>
    <row r="869" spans="7:7" ht="13.2" x14ac:dyDescent="0.25">
      <c r="G869" s="3"/>
    </row>
    <row r="870" spans="7:7" ht="13.2" x14ac:dyDescent="0.25">
      <c r="G870" s="3"/>
    </row>
    <row r="871" spans="7:7" ht="13.2" x14ac:dyDescent="0.25">
      <c r="G871" s="3"/>
    </row>
    <row r="872" spans="7:7" ht="13.2" x14ac:dyDescent="0.25">
      <c r="G872" s="3"/>
    </row>
    <row r="873" spans="7:7" ht="13.2" x14ac:dyDescent="0.25">
      <c r="G873" s="3"/>
    </row>
    <row r="874" spans="7:7" ht="13.2" x14ac:dyDescent="0.25">
      <c r="G874" s="3"/>
    </row>
    <row r="875" spans="7:7" ht="13.2" x14ac:dyDescent="0.25">
      <c r="G875" s="3"/>
    </row>
    <row r="876" spans="7:7" ht="13.2" x14ac:dyDescent="0.25">
      <c r="G876" s="3"/>
    </row>
    <row r="877" spans="7:7" ht="13.2" x14ac:dyDescent="0.25">
      <c r="G877" s="3"/>
    </row>
    <row r="878" spans="7:7" ht="13.2" x14ac:dyDescent="0.25">
      <c r="G878" s="3"/>
    </row>
    <row r="879" spans="7:7" ht="13.2" x14ac:dyDescent="0.25">
      <c r="G879" s="3"/>
    </row>
    <row r="880" spans="7:7" ht="13.2" x14ac:dyDescent="0.25">
      <c r="G880" s="3"/>
    </row>
    <row r="881" spans="7:7" ht="13.2" x14ac:dyDescent="0.25">
      <c r="G881" s="3"/>
    </row>
    <row r="882" spans="7:7" ht="13.2" x14ac:dyDescent="0.25">
      <c r="G882" s="3"/>
    </row>
    <row r="883" spans="7:7" ht="13.2" x14ac:dyDescent="0.25">
      <c r="G883" s="3"/>
    </row>
    <row r="884" spans="7:7" ht="13.2" x14ac:dyDescent="0.25">
      <c r="G884" s="3"/>
    </row>
    <row r="885" spans="7:7" ht="13.2" x14ac:dyDescent="0.25">
      <c r="G885" s="3"/>
    </row>
    <row r="886" spans="7:7" ht="13.2" x14ac:dyDescent="0.25">
      <c r="G886" s="3"/>
    </row>
    <row r="887" spans="7:7" ht="13.2" x14ac:dyDescent="0.25">
      <c r="G887" s="3"/>
    </row>
    <row r="888" spans="7:7" ht="13.2" x14ac:dyDescent="0.25">
      <c r="G888" s="3"/>
    </row>
    <row r="889" spans="7:7" ht="13.2" x14ac:dyDescent="0.25">
      <c r="G889" s="3"/>
    </row>
    <row r="890" spans="7:7" ht="13.2" x14ac:dyDescent="0.25">
      <c r="G890" s="3"/>
    </row>
    <row r="891" spans="7:7" ht="13.2" x14ac:dyDescent="0.25">
      <c r="G891" s="3"/>
    </row>
    <row r="892" spans="7:7" ht="13.2" x14ac:dyDescent="0.25">
      <c r="G892" s="3"/>
    </row>
    <row r="893" spans="7:7" ht="13.2" x14ac:dyDescent="0.25">
      <c r="G893" s="3"/>
    </row>
    <row r="894" spans="7:7" ht="13.2" x14ac:dyDescent="0.25">
      <c r="G894" s="3"/>
    </row>
    <row r="895" spans="7:7" ht="13.2" x14ac:dyDescent="0.25">
      <c r="G895" s="3"/>
    </row>
    <row r="896" spans="7:7" ht="13.2" x14ac:dyDescent="0.25">
      <c r="G896" s="3"/>
    </row>
    <row r="897" spans="7:7" ht="13.2" x14ac:dyDescent="0.25">
      <c r="G897" s="3"/>
    </row>
    <row r="898" spans="7:7" ht="13.2" x14ac:dyDescent="0.25">
      <c r="G898" s="3"/>
    </row>
    <row r="899" spans="7:7" ht="13.2" x14ac:dyDescent="0.25">
      <c r="G899" s="3"/>
    </row>
    <row r="900" spans="7:7" ht="13.2" x14ac:dyDescent="0.25">
      <c r="G900" s="3"/>
    </row>
    <row r="901" spans="7:7" ht="13.2" x14ac:dyDescent="0.25">
      <c r="G901" s="3"/>
    </row>
    <row r="902" spans="7:7" ht="13.2" x14ac:dyDescent="0.25">
      <c r="G902" s="3"/>
    </row>
    <row r="903" spans="7:7" ht="13.2" x14ac:dyDescent="0.25">
      <c r="G903" s="3"/>
    </row>
    <row r="904" spans="7:7" ht="13.2" x14ac:dyDescent="0.25">
      <c r="G904" s="3"/>
    </row>
    <row r="905" spans="7:7" ht="13.2" x14ac:dyDescent="0.25">
      <c r="G905" s="3"/>
    </row>
    <row r="906" spans="7:7" ht="13.2" x14ac:dyDescent="0.25">
      <c r="G906" s="3"/>
    </row>
    <row r="907" spans="7:7" ht="13.2" x14ac:dyDescent="0.25">
      <c r="G907" s="3"/>
    </row>
    <row r="908" spans="7:7" ht="13.2" x14ac:dyDescent="0.25">
      <c r="G908" s="3"/>
    </row>
    <row r="909" spans="7:7" ht="13.2" x14ac:dyDescent="0.25">
      <c r="G909" s="3"/>
    </row>
    <row r="910" spans="7:7" ht="13.2" x14ac:dyDescent="0.25">
      <c r="G910" s="3"/>
    </row>
    <row r="911" spans="7:7" ht="13.2" x14ac:dyDescent="0.25">
      <c r="G911" s="3"/>
    </row>
    <row r="912" spans="7:7" ht="13.2" x14ac:dyDescent="0.25">
      <c r="G912" s="3"/>
    </row>
    <row r="913" spans="7:7" ht="13.2" x14ac:dyDescent="0.25">
      <c r="G913" s="3"/>
    </row>
    <row r="914" spans="7:7" ht="13.2" x14ac:dyDescent="0.25">
      <c r="G914" s="3"/>
    </row>
    <row r="915" spans="7:7" ht="13.2" x14ac:dyDescent="0.25">
      <c r="G915" s="3"/>
    </row>
    <row r="916" spans="7:7" ht="13.2" x14ac:dyDescent="0.25">
      <c r="G916" s="3"/>
    </row>
    <row r="917" spans="7:7" ht="13.2" x14ac:dyDescent="0.25">
      <c r="G917" s="3"/>
    </row>
    <row r="918" spans="7:7" ht="13.2" x14ac:dyDescent="0.25">
      <c r="G918" s="3"/>
    </row>
    <row r="919" spans="7:7" ht="13.2" x14ac:dyDescent="0.25">
      <c r="G919" s="3"/>
    </row>
    <row r="920" spans="7:7" ht="13.2" x14ac:dyDescent="0.25">
      <c r="G920" s="3"/>
    </row>
    <row r="921" spans="7:7" ht="13.2" x14ac:dyDescent="0.25">
      <c r="G921" s="3"/>
    </row>
    <row r="922" spans="7:7" ht="13.2" x14ac:dyDescent="0.25">
      <c r="G922" s="3"/>
    </row>
    <row r="923" spans="7:7" ht="13.2" x14ac:dyDescent="0.25">
      <c r="G923" s="3"/>
    </row>
    <row r="924" spans="7:7" ht="13.2" x14ac:dyDescent="0.25">
      <c r="G924" s="3"/>
    </row>
    <row r="925" spans="7:7" ht="13.2" x14ac:dyDescent="0.25">
      <c r="G925" s="3"/>
    </row>
    <row r="926" spans="7:7" ht="13.2" x14ac:dyDescent="0.25">
      <c r="G926" s="3"/>
    </row>
    <row r="927" spans="7:7" ht="13.2" x14ac:dyDescent="0.25">
      <c r="G927" s="3"/>
    </row>
    <row r="928" spans="7:7" ht="13.2" x14ac:dyDescent="0.25">
      <c r="G928" s="3"/>
    </row>
    <row r="929" spans="7:7" ht="13.2" x14ac:dyDescent="0.25">
      <c r="G929" s="3"/>
    </row>
    <row r="930" spans="7:7" ht="13.2" x14ac:dyDescent="0.25">
      <c r="G930" s="3"/>
    </row>
    <row r="931" spans="7:7" ht="13.2" x14ac:dyDescent="0.25">
      <c r="G931" s="3"/>
    </row>
    <row r="932" spans="7:7" ht="13.2" x14ac:dyDescent="0.25">
      <c r="G932" s="3"/>
    </row>
    <row r="933" spans="7:7" ht="13.2" x14ac:dyDescent="0.25">
      <c r="G933" s="3"/>
    </row>
    <row r="934" spans="7:7" ht="13.2" x14ac:dyDescent="0.25">
      <c r="G934" s="3"/>
    </row>
    <row r="935" spans="7:7" ht="13.2" x14ac:dyDescent="0.25">
      <c r="G935" s="3"/>
    </row>
    <row r="936" spans="7:7" ht="13.2" x14ac:dyDescent="0.25">
      <c r="G936" s="3"/>
    </row>
    <row r="937" spans="7:7" ht="13.2" x14ac:dyDescent="0.25">
      <c r="G937" s="3"/>
    </row>
    <row r="938" spans="7:7" ht="13.2" x14ac:dyDescent="0.25">
      <c r="G938" s="3"/>
    </row>
    <row r="939" spans="7:7" ht="13.2" x14ac:dyDescent="0.25">
      <c r="G939" s="3"/>
    </row>
    <row r="940" spans="7:7" ht="13.2" x14ac:dyDescent="0.25">
      <c r="G940" s="3"/>
    </row>
    <row r="941" spans="7:7" ht="13.2" x14ac:dyDescent="0.25">
      <c r="G941" s="3"/>
    </row>
    <row r="942" spans="7:7" ht="13.2" x14ac:dyDescent="0.25">
      <c r="G942" s="3"/>
    </row>
    <row r="943" spans="7:7" ht="13.2" x14ac:dyDescent="0.25">
      <c r="G943" s="3"/>
    </row>
    <row r="944" spans="7:7" ht="13.2" x14ac:dyDescent="0.25">
      <c r="G944" s="3"/>
    </row>
    <row r="945" spans="7:7" ht="13.2" x14ac:dyDescent="0.25">
      <c r="G945" s="3"/>
    </row>
    <row r="946" spans="7:7" ht="13.2" x14ac:dyDescent="0.25">
      <c r="G946" s="3"/>
    </row>
    <row r="947" spans="7:7" ht="13.2" x14ac:dyDescent="0.25">
      <c r="G947" s="3"/>
    </row>
    <row r="948" spans="7:7" ht="13.2" x14ac:dyDescent="0.25">
      <c r="G948" s="3"/>
    </row>
    <row r="949" spans="7:7" ht="13.2" x14ac:dyDescent="0.25">
      <c r="G949" s="3"/>
    </row>
    <row r="950" spans="7:7" ht="13.2" x14ac:dyDescent="0.25">
      <c r="G950" s="3"/>
    </row>
    <row r="951" spans="7:7" ht="13.2" x14ac:dyDescent="0.25">
      <c r="G951" s="3"/>
    </row>
    <row r="952" spans="7:7" ht="13.2" x14ac:dyDescent="0.25">
      <c r="G952" s="3"/>
    </row>
    <row r="953" spans="7:7" ht="13.2" x14ac:dyDescent="0.25">
      <c r="G953" s="3"/>
    </row>
    <row r="954" spans="7:7" ht="13.2" x14ac:dyDescent="0.25">
      <c r="G954" s="3"/>
    </row>
    <row r="955" spans="7:7" ht="13.2" x14ac:dyDescent="0.25">
      <c r="G955" s="3"/>
    </row>
    <row r="956" spans="7:7" ht="13.2" x14ac:dyDescent="0.25">
      <c r="G956" s="3"/>
    </row>
    <row r="957" spans="7:7" ht="13.2" x14ac:dyDescent="0.25">
      <c r="G957" s="3"/>
    </row>
    <row r="958" spans="7:7" ht="13.2" x14ac:dyDescent="0.25">
      <c r="G958" s="3"/>
    </row>
    <row r="959" spans="7:7" ht="13.2" x14ac:dyDescent="0.25">
      <c r="G959" s="3"/>
    </row>
    <row r="960" spans="7:7" ht="13.2" x14ac:dyDescent="0.25">
      <c r="G960" s="3"/>
    </row>
    <row r="961" spans="7:7" ht="13.2" x14ac:dyDescent="0.25">
      <c r="G961" s="3"/>
    </row>
    <row r="962" spans="7:7" ht="13.2" x14ac:dyDescent="0.25">
      <c r="G962" s="3"/>
    </row>
    <row r="963" spans="7:7" ht="13.2" x14ac:dyDescent="0.25">
      <c r="G963" s="3"/>
    </row>
    <row r="964" spans="7:7" ht="13.2" x14ac:dyDescent="0.25">
      <c r="G964" s="3"/>
    </row>
    <row r="965" spans="7:7" ht="13.2" x14ac:dyDescent="0.25">
      <c r="G965" s="3"/>
    </row>
    <row r="966" spans="7:7" ht="13.2" x14ac:dyDescent="0.25">
      <c r="G966" s="3"/>
    </row>
    <row r="967" spans="7:7" ht="13.2" x14ac:dyDescent="0.25">
      <c r="G967" s="3"/>
    </row>
    <row r="968" spans="7:7" ht="13.2" x14ac:dyDescent="0.25">
      <c r="G968" s="3"/>
    </row>
    <row r="969" spans="7:7" ht="13.2" x14ac:dyDescent="0.25">
      <c r="G969" s="3"/>
    </row>
    <row r="970" spans="7:7" ht="13.2" x14ac:dyDescent="0.25">
      <c r="G970" s="3"/>
    </row>
    <row r="971" spans="7:7" ht="13.2" x14ac:dyDescent="0.25">
      <c r="G971" s="3"/>
    </row>
    <row r="972" spans="7:7" ht="13.2" x14ac:dyDescent="0.25">
      <c r="G972" s="3"/>
    </row>
    <row r="973" spans="7:7" ht="13.2" x14ac:dyDescent="0.25">
      <c r="G973" s="3"/>
    </row>
    <row r="974" spans="7:7" ht="13.2" x14ac:dyDescent="0.25">
      <c r="G974" s="3"/>
    </row>
    <row r="975" spans="7:7" ht="13.2" x14ac:dyDescent="0.25">
      <c r="G975" s="3"/>
    </row>
    <row r="976" spans="7:7" ht="13.2" x14ac:dyDescent="0.25">
      <c r="G976" s="3"/>
    </row>
    <row r="977" spans="7:7" ht="13.2" x14ac:dyDescent="0.25">
      <c r="G977" s="3"/>
    </row>
    <row r="978" spans="7:7" ht="13.2" x14ac:dyDescent="0.25">
      <c r="G978" s="3"/>
    </row>
    <row r="979" spans="7:7" ht="13.2" x14ac:dyDescent="0.25">
      <c r="G979" s="3"/>
    </row>
    <row r="980" spans="7:7" ht="13.2" x14ac:dyDescent="0.25">
      <c r="G980" s="3"/>
    </row>
    <row r="981" spans="7:7" ht="13.2" x14ac:dyDescent="0.25">
      <c r="G981" s="3"/>
    </row>
    <row r="982" spans="7:7" ht="13.2" x14ac:dyDescent="0.25">
      <c r="G982" s="3"/>
    </row>
    <row r="983" spans="7:7" ht="13.2" x14ac:dyDescent="0.25">
      <c r="G983" s="3"/>
    </row>
    <row r="984" spans="7:7" ht="13.2" x14ac:dyDescent="0.25">
      <c r="G984" s="3"/>
    </row>
    <row r="985" spans="7:7" ht="13.2" x14ac:dyDescent="0.25">
      <c r="G985" s="3"/>
    </row>
    <row r="986" spans="7:7" ht="13.2" x14ac:dyDescent="0.25">
      <c r="G986" s="3"/>
    </row>
    <row r="987" spans="7:7" ht="13.2" x14ac:dyDescent="0.25">
      <c r="G987" s="3"/>
    </row>
    <row r="988" spans="7:7" ht="13.2" x14ac:dyDescent="0.25">
      <c r="G988" s="3"/>
    </row>
    <row r="989" spans="7:7" ht="13.2" x14ac:dyDescent="0.25">
      <c r="G989" s="3"/>
    </row>
    <row r="990" spans="7:7" ht="13.2" x14ac:dyDescent="0.25">
      <c r="G990" s="3"/>
    </row>
    <row r="991" spans="7:7" ht="13.2" x14ac:dyDescent="0.25">
      <c r="G991" s="3"/>
    </row>
    <row r="992" spans="7:7" ht="13.2" x14ac:dyDescent="0.25">
      <c r="G992" s="3"/>
    </row>
    <row r="993" spans="7:7" ht="13.2" x14ac:dyDescent="0.25">
      <c r="G993" s="3"/>
    </row>
    <row r="994" spans="7:7" ht="13.2" x14ac:dyDescent="0.25">
      <c r="G994" s="3"/>
    </row>
    <row r="995" spans="7:7" ht="13.2" x14ac:dyDescent="0.25">
      <c r="G995" s="3"/>
    </row>
    <row r="996" spans="7:7" ht="13.2" x14ac:dyDescent="0.25">
      <c r="G996" s="3"/>
    </row>
    <row r="997" spans="7:7" ht="13.2" x14ac:dyDescent="0.25">
      <c r="G997" s="3"/>
    </row>
    <row r="998" spans="7:7" ht="13.2" x14ac:dyDescent="0.25">
      <c r="G998" s="3"/>
    </row>
    <row r="999" spans="7:7" ht="13.2" x14ac:dyDescent="0.25">
      <c r="G999" s="3"/>
    </row>
    <row r="1000" spans="7:7" ht="13.2" x14ac:dyDescent="0.25">
      <c r="G1000" s="3"/>
    </row>
    <row r="1001" spans="7:7" ht="13.2" x14ac:dyDescent="0.25">
      <c r="G1001" s="3"/>
    </row>
    <row r="1002" spans="7:7" ht="13.2" x14ac:dyDescent="0.25">
      <c r="G1002" s="3"/>
    </row>
    <row r="1003" spans="7:7" ht="13.2" x14ac:dyDescent="0.25">
      <c r="G1003" s="3"/>
    </row>
    <row r="1004" spans="7:7" ht="13.2" x14ac:dyDescent="0.25">
      <c r="G1004" s="3"/>
    </row>
    <row r="1005" spans="7:7" ht="13.2" x14ac:dyDescent="0.25">
      <c r="G1005" s="3"/>
    </row>
    <row r="1006" spans="7:7" ht="13.2" x14ac:dyDescent="0.25">
      <c r="G1006" s="3"/>
    </row>
    <row r="1007" spans="7:7" ht="13.2" x14ac:dyDescent="0.25">
      <c r="G1007" s="3"/>
    </row>
    <row r="1008" spans="7:7" ht="13.2" x14ac:dyDescent="0.25">
      <c r="G1008" s="3"/>
    </row>
    <row r="1009" spans="7:7" ht="13.2" x14ac:dyDescent="0.25">
      <c r="G1009" s="3"/>
    </row>
    <row r="1010" spans="7:7" ht="13.2" x14ac:dyDescent="0.25">
      <c r="G1010" s="3"/>
    </row>
    <row r="1011" spans="7:7" ht="13.2" x14ac:dyDescent="0.25">
      <c r="G1011" s="3"/>
    </row>
    <row r="1012" spans="7:7" ht="13.2" x14ac:dyDescent="0.25">
      <c r="G1012" s="3"/>
    </row>
    <row r="1013" spans="7:7" ht="13.2" x14ac:dyDescent="0.25">
      <c r="G1013" s="3"/>
    </row>
    <row r="1014" spans="7:7" ht="13.2" x14ac:dyDescent="0.25">
      <c r="G1014" s="3"/>
    </row>
    <row r="1015" spans="7:7" ht="13.2" x14ac:dyDescent="0.25">
      <c r="G1015" s="3"/>
    </row>
    <row r="1016" spans="7:7" ht="13.2" x14ac:dyDescent="0.25">
      <c r="G1016" s="3"/>
    </row>
    <row r="1017" spans="7:7" ht="13.2" x14ac:dyDescent="0.25">
      <c r="G1017" s="3"/>
    </row>
    <row r="1018" spans="7:7" ht="13.2" x14ac:dyDescent="0.25">
      <c r="G1018" s="3"/>
    </row>
    <row r="1019" spans="7:7" ht="13.2" x14ac:dyDescent="0.25">
      <c r="G1019" s="3"/>
    </row>
    <row r="1020" spans="7:7" ht="13.2" x14ac:dyDescent="0.25">
      <c r="G1020" s="3"/>
    </row>
    <row r="1021" spans="7:7" ht="13.2" x14ac:dyDescent="0.25">
      <c r="G1021" s="3"/>
    </row>
    <row r="1022" spans="7:7" ht="13.2" x14ac:dyDescent="0.25">
      <c r="G1022" s="3"/>
    </row>
    <row r="1023" spans="7:7" ht="13.2" x14ac:dyDescent="0.25">
      <c r="G1023" s="3"/>
    </row>
    <row r="1024" spans="7:7" ht="13.2" x14ac:dyDescent="0.25">
      <c r="G1024" s="3"/>
    </row>
    <row r="1025" spans="7:7" ht="13.2" x14ac:dyDescent="0.25">
      <c r="G1025" s="3"/>
    </row>
    <row r="1026" spans="7:7" ht="13.2" x14ac:dyDescent="0.25">
      <c r="G1026" s="3"/>
    </row>
    <row r="1027" spans="7:7" ht="13.2" x14ac:dyDescent="0.25">
      <c r="G1027" s="3"/>
    </row>
    <row r="1028" spans="7:7" ht="13.2" x14ac:dyDescent="0.25">
      <c r="G1028" s="3"/>
    </row>
    <row r="1029" spans="7:7" ht="13.2" x14ac:dyDescent="0.25">
      <c r="G1029" s="3"/>
    </row>
    <row r="1030" spans="7:7" ht="13.2" x14ac:dyDescent="0.25">
      <c r="G1030" s="3"/>
    </row>
    <row r="1031" spans="7:7" ht="13.2" x14ac:dyDescent="0.25">
      <c r="G1031" s="3"/>
    </row>
    <row r="1032" spans="7:7" ht="13.2" x14ac:dyDescent="0.25">
      <c r="G1032" s="3"/>
    </row>
    <row r="1033" spans="7:7" ht="13.2" x14ac:dyDescent="0.25">
      <c r="G1033" s="3"/>
    </row>
    <row r="1034" spans="7:7" ht="13.2" x14ac:dyDescent="0.25">
      <c r="G1034" s="3"/>
    </row>
    <row r="1035" spans="7:7" ht="13.2" x14ac:dyDescent="0.25">
      <c r="G1035" s="3"/>
    </row>
    <row r="1036" spans="7:7" ht="13.2" x14ac:dyDescent="0.25">
      <c r="G1036" s="3"/>
    </row>
    <row r="1037" spans="7:7" ht="13.2" x14ac:dyDescent="0.25">
      <c r="G1037" s="3"/>
    </row>
    <row r="1038" spans="7:7" ht="13.2" x14ac:dyDescent="0.25">
      <c r="G1038" s="3"/>
    </row>
    <row r="1039" spans="7:7" ht="13.2" x14ac:dyDescent="0.25">
      <c r="G1039" s="3"/>
    </row>
    <row r="1040" spans="7:7" ht="13.2" x14ac:dyDescent="0.25">
      <c r="G1040" s="3"/>
    </row>
    <row r="1041" spans="7:7" ht="13.2" x14ac:dyDescent="0.25">
      <c r="G1041" s="3"/>
    </row>
    <row r="1042" spans="7:7" ht="13.2" x14ac:dyDescent="0.25">
      <c r="G1042" s="3"/>
    </row>
    <row r="1043" spans="7:7" ht="13.2" x14ac:dyDescent="0.25">
      <c r="G1043" s="3"/>
    </row>
    <row r="1044" spans="7:7" ht="13.2" x14ac:dyDescent="0.25">
      <c r="G1044" s="3"/>
    </row>
    <row r="1045" spans="7:7" ht="13.2" x14ac:dyDescent="0.25">
      <c r="G1045" s="3"/>
    </row>
    <row r="1046" spans="7:7" ht="13.2" x14ac:dyDescent="0.25">
      <c r="G1046" s="3"/>
    </row>
    <row r="1047" spans="7:7" ht="13.2" x14ac:dyDescent="0.25">
      <c r="G1047" s="3"/>
    </row>
    <row r="1048" spans="7:7" ht="13.2" x14ac:dyDescent="0.25">
      <c r="G1048" s="3"/>
    </row>
    <row r="1049" spans="7:7" ht="13.2" x14ac:dyDescent="0.25">
      <c r="G1049" s="3"/>
    </row>
    <row r="1050" spans="7:7" ht="13.2" x14ac:dyDescent="0.25">
      <c r="G1050" s="3"/>
    </row>
    <row r="1051" spans="7:7" ht="13.2" x14ac:dyDescent="0.25">
      <c r="G1051" s="3"/>
    </row>
    <row r="1052" spans="7:7" ht="13.2" x14ac:dyDescent="0.25">
      <c r="G1052" s="3"/>
    </row>
    <row r="1053" spans="7:7" ht="13.2" x14ac:dyDescent="0.25">
      <c r="G1053" s="3"/>
    </row>
    <row r="1054" spans="7:7" ht="13.2" x14ac:dyDescent="0.25">
      <c r="G1054" s="3"/>
    </row>
    <row r="1055" spans="7:7" ht="13.2" x14ac:dyDescent="0.25">
      <c r="G1055" s="3"/>
    </row>
    <row r="1056" spans="7:7" ht="13.2" x14ac:dyDescent="0.25">
      <c r="G1056" s="3"/>
    </row>
    <row r="1057" spans="7:7" ht="13.2" x14ac:dyDescent="0.25">
      <c r="G1057" s="3"/>
    </row>
    <row r="1058" spans="7:7" ht="13.2" x14ac:dyDescent="0.25">
      <c r="G1058" s="3"/>
    </row>
    <row r="1059" spans="7:7" ht="13.2" x14ac:dyDescent="0.25">
      <c r="G1059" s="3"/>
    </row>
    <row r="1060" spans="7:7" ht="13.2" x14ac:dyDescent="0.25">
      <c r="G1060" s="3"/>
    </row>
    <row r="1061" spans="7:7" ht="13.2" x14ac:dyDescent="0.25">
      <c r="G1061" s="3"/>
    </row>
    <row r="1062" spans="7:7" ht="13.2" x14ac:dyDescent="0.25">
      <c r="G1062" s="3"/>
    </row>
    <row r="1063" spans="7:7" ht="13.2" x14ac:dyDescent="0.25">
      <c r="G1063" s="3"/>
    </row>
    <row r="1064" spans="7:7" ht="13.2" x14ac:dyDescent="0.25">
      <c r="G1064" s="3"/>
    </row>
    <row r="1065" spans="7:7" ht="13.2" x14ac:dyDescent="0.25">
      <c r="G1065" s="3"/>
    </row>
    <row r="1066" spans="7:7" ht="13.2" x14ac:dyDescent="0.25">
      <c r="G1066" s="3"/>
    </row>
    <row r="1067" spans="7:7" ht="13.2" x14ac:dyDescent="0.25">
      <c r="G1067" s="3"/>
    </row>
    <row r="1068" spans="7:7" ht="13.2" x14ac:dyDescent="0.25">
      <c r="G1068" s="3"/>
    </row>
    <row r="1069" spans="7:7" ht="13.2" x14ac:dyDescent="0.25">
      <c r="G1069" s="3"/>
    </row>
    <row r="1070" spans="7:7" ht="13.2" x14ac:dyDescent="0.25">
      <c r="G1070" s="3"/>
    </row>
    <row r="1071" spans="7:7" ht="13.2" x14ac:dyDescent="0.25">
      <c r="G1071" s="3"/>
    </row>
    <row r="1072" spans="7:7" ht="13.2" x14ac:dyDescent="0.25">
      <c r="G1072" s="3"/>
    </row>
    <row r="1073" spans="7:7" ht="13.2" x14ac:dyDescent="0.25">
      <c r="G1073" s="3"/>
    </row>
    <row r="1074" spans="7:7" ht="13.2" x14ac:dyDescent="0.25">
      <c r="G1074" s="3"/>
    </row>
    <row r="1075" spans="7:7" ht="13.2" x14ac:dyDescent="0.25">
      <c r="G1075" s="3"/>
    </row>
    <row r="1076" spans="7:7" ht="13.2" x14ac:dyDescent="0.25">
      <c r="G1076" s="3"/>
    </row>
    <row r="1077" spans="7:7" ht="13.2" x14ac:dyDescent="0.25">
      <c r="G1077" s="3"/>
    </row>
    <row r="1078" spans="7:7" ht="13.2" x14ac:dyDescent="0.25">
      <c r="G1078" s="3"/>
    </row>
    <row r="1079" spans="7:7" ht="13.2" x14ac:dyDescent="0.25">
      <c r="G1079" s="3"/>
    </row>
    <row r="1080" spans="7:7" ht="13.2" x14ac:dyDescent="0.25">
      <c r="G1080" s="3"/>
    </row>
    <row r="1081" spans="7:7" ht="13.2" x14ac:dyDescent="0.25">
      <c r="G1081" s="3"/>
    </row>
    <row r="1082" spans="7:7" ht="13.2" x14ac:dyDescent="0.25">
      <c r="G1082" s="3"/>
    </row>
    <row r="1083" spans="7:7" ht="13.2" x14ac:dyDescent="0.25">
      <c r="G1083" s="3"/>
    </row>
    <row r="1084" spans="7:7" ht="13.2" x14ac:dyDescent="0.25">
      <c r="G1084" s="3"/>
    </row>
    <row r="1085" spans="7:7" ht="13.2" x14ac:dyDescent="0.25">
      <c r="G1085" s="3"/>
    </row>
    <row r="1086" spans="7:7" ht="13.2" x14ac:dyDescent="0.25">
      <c r="G1086" s="3"/>
    </row>
    <row r="1087" spans="7:7" ht="13.2" x14ac:dyDescent="0.25">
      <c r="G1087" s="3"/>
    </row>
    <row r="1088" spans="7:7" ht="13.2" x14ac:dyDescent="0.25">
      <c r="G1088" s="3"/>
    </row>
    <row r="1089" spans="7:7" ht="13.2" x14ac:dyDescent="0.25">
      <c r="G1089" s="3"/>
    </row>
    <row r="1090" spans="7:7" ht="13.2" x14ac:dyDescent="0.25">
      <c r="G1090" s="3"/>
    </row>
    <row r="1091" spans="7:7" ht="13.2" x14ac:dyDescent="0.25">
      <c r="G1091" s="3"/>
    </row>
    <row r="1092" spans="7:7" ht="13.2" x14ac:dyDescent="0.25">
      <c r="G1092" s="3"/>
    </row>
    <row r="1093" spans="7:7" ht="13.2" x14ac:dyDescent="0.25">
      <c r="G1093" s="3"/>
    </row>
    <row r="1094" spans="7:7" ht="13.2" x14ac:dyDescent="0.25">
      <c r="G1094" s="3"/>
    </row>
    <row r="1095" spans="7:7" ht="13.2" x14ac:dyDescent="0.25">
      <c r="G1095" s="3"/>
    </row>
    <row r="1096" spans="7:7" ht="13.2" x14ac:dyDescent="0.25">
      <c r="G1096" s="3"/>
    </row>
    <row r="1097" spans="7:7" ht="13.2" x14ac:dyDescent="0.25">
      <c r="G1097" s="3"/>
    </row>
    <row r="1098" spans="7:7" ht="13.2" x14ac:dyDescent="0.25">
      <c r="G1098" s="3"/>
    </row>
    <row r="1099" spans="7:7" ht="13.2" x14ac:dyDescent="0.25">
      <c r="G1099" s="3"/>
    </row>
    <row r="1100" spans="7:7" ht="13.2" x14ac:dyDescent="0.25">
      <c r="G1100" s="3"/>
    </row>
    <row r="1101" spans="7:7" ht="13.2" x14ac:dyDescent="0.25">
      <c r="G1101" s="3"/>
    </row>
    <row r="1102" spans="7:7" ht="13.2" x14ac:dyDescent="0.25">
      <c r="G1102" s="3"/>
    </row>
    <row r="1103" spans="7:7" ht="13.2" x14ac:dyDescent="0.25">
      <c r="G1103" s="3"/>
    </row>
    <row r="1104" spans="7:7" ht="13.2" x14ac:dyDescent="0.25">
      <c r="G1104" s="3"/>
    </row>
    <row r="1105" spans="7:7" ht="13.2" x14ac:dyDescent="0.25">
      <c r="G1105" s="3"/>
    </row>
    <row r="1106" spans="7:7" ht="13.2" x14ac:dyDescent="0.25">
      <c r="G1106" s="3"/>
    </row>
    <row r="1107" spans="7:7" ht="13.2" x14ac:dyDescent="0.25">
      <c r="G1107" s="3"/>
    </row>
    <row r="1108" spans="7:7" ht="13.2" x14ac:dyDescent="0.25">
      <c r="G1108" s="3"/>
    </row>
    <row r="1109" spans="7:7" ht="13.2" x14ac:dyDescent="0.25">
      <c r="G1109" s="3"/>
    </row>
    <row r="1110" spans="7:7" ht="13.2" x14ac:dyDescent="0.25">
      <c r="G1110" s="3"/>
    </row>
    <row r="1111" spans="7:7" ht="13.2" x14ac:dyDescent="0.25">
      <c r="G1111" s="3"/>
    </row>
    <row r="1112" spans="7:7" ht="13.2" x14ac:dyDescent="0.25">
      <c r="G1112" s="3"/>
    </row>
    <row r="1113" spans="7:7" ht="13.2" x14ac:dyDescent="0.25">
      <c r="G1113" s="3"/>
    </row>
    <row r="1114" spans="7:7" ht="13.2" x14ac:dyDescent="0.25">
      <c r="G1114" s="3"/>
    </row>
    <row r="1115" spans="7:7" ht="13.2" x14ac:dyDescent="0.25">
      <c r="G1115" s="3"/>
    </row>
    <row r="1116" spans="7:7" ht="13.2" x14ac:dyDescent="0.25">
      <c r="G1116" s="3"/>
    </row>
    <row r="1117" spans="7:7" ht="13.2" x14ac:dyDescent="0.25">
      <c r="G1117" s="3"/>
    </row>
    <row r="1118" spans="7:7" ht="13.2" x14ac:dyDescent="0.25">
      <c r="G1118" s="3"/>
    </row>
    <row r="1119" spans="7:7" ht="13.2" x14ac:dyDescent="0.25">
      <c r="G1119" s="3"/>
    </row>
    <row r="1120" spans="7:7" ht="13.2" x14ac:dyDescent="0.25">
      <c r="G1120" s="3"/>
    </row>
    <row r="1121" spans="7:7" ht="13.2" x14ac:dyDescent="0.25">
      <c r="G1121" s="3"/>
    </row>
    <row r="1122" spans="7:7" ht="13.2" x14ac:dyDescent="0.25">
      <c r="G1122" s="3"/>
    </row>
    <row r="1123" spans="7:7" ht="13.2" x14ac:dyDescent="0.25">
      <c r="G1123" s="3"/>
    </row>
    <row r="1124" spans="7:7" ht="13.2" x14ac:dyDescent="0.25">
      <c r="G1124" s="3"/>
    </row>
    <row r="1125" spans="7:7" ht="13.2" x14ac:dyDescent="0.25">
      <c r="G1125" s="3"/>
    </row>
    <row r="1126" spans="7:7" ht="13.2" x14ac:dyDescent="0.25">
      <c r="G1126" s="3"/>
    </row>
    <row r="1127" spans="7:7" ht="13.2" x14ac:dyDescent="0.25">
      <c r="G1127" s="3"/>
    </row>
    <row r="1128" spans="7:7" ht="13.2" x14ac:dyDescent="0.25">
      <c r="G1128" s="3"/>
    </row>
    <row r="1129" spans="7:7" ht="13.2" x14ac:dyDescent="0.25">
      <c r="G1129" s="3"/>
    </row>
    <row r="1130" spans="7:7" ht="13.2" x14ac:dyDescent="0.25">
      <c r="G1130" s="3"/>
    </row>
    <row r="1131" spans="7:7" ht="13.2" x14ac:dyDescent="0.25">
      <c r="G1131" s="3"/>
    </row>
    <row r="1132" spans="7:7" ht="13.2" x14ac:dyDescent="0.25">
      <c r="G1132" s="3"/>
    </row>
    <row r="1133" spans="7:7" ht="13.2" x14ac:dyDescent="0.25">
      <c r="G1133" s="3"/>
    </row>
    <row r="1134" spans="7:7" ht="13.2" x14ac:dyDescent="0.25">
      <c r="G1134" s="3"/>
    </row>
    <row r="1135" spans="7:7" ht="13.2" x14ac:dyDescent="0.25">
      <c r="G1135" s="3"/>
    </row>
    <row r="1136" spans="7:7" ht="13.2" x14ac:dyDescent="0.25">
      <c r="G1136" s="3"/>
    </row>
    <row r="1137" spans="7:7" ht="13.2" x14ac:dyDescent="0.25">
      <c r="G1137" s="3"/>
    </row>
    <row r="1138" spans="7:7" ht="13.2" x14ac:dyDescent="0.25">
      <c r="G1138" s="3"/>
    </row>
    <row r="1139" spans="7:7" ht="13.2" x14ac:dyDescent="0.25">
      <c r="G1139" s="3"/>
    </row>
    <row r="1140" spans="7:7" ht="13.2" x14ac:dyDescent="0.25">
      <c r="G1140" s="3"/>
    </row>
    <row r="1141" spans="7:7" ht="13.2" x14ac:dyDescent="0.25">
      <c r="G1141" s="3"/>
    </row>
    <row r="1142" spans="7:7" ht="13.2" x14ac:dyDescent="0.25">
      <c r="G1142" s="3"/>
    </row>
    <row r="1143" spans="7:7" ht="13.2" x14ac:dyDescent="0.25">
      <c r="G1143" s="3"/>
    </row>
    <row r="1144" spans="7:7" ht="13.2" x14ac:dyDescent="0.25">
      <c r="G1144" s="3"/>
    </row>
    <row r="1145" spans="7:7" ht="13.2" x14ac:dyDescent="0.25">
      <c r="G1145" s="3"/>
    </row>
    <row r="1146" spans="7:7" ht="13.2" x14ac:dyDescent="0.25">
      <c r="G1146" s="3"/>
    </row>
    <row r="1147" spans="7:7" ht="13.2" x14ac:dyDescent="0.25">
      <c r="G1147" s="3"/>
    </row>
    <row r="1148" spans="7:7" ht="13.2" x14ac:dyDescent="0.25">
      <c r="G1148" s="3"/>
    </row>
    <row r="1149" spans="7:7" ht="13.2" x14ac:dyDescent="0.25">
      <c r="G1149" s="3"/>
    </row>
    <row r="1150" spans="7:7" ht="13.2" x14ac:dyDescent="0.25">
      <c r="G1150" s="3"/>
    </row>
    <row r="1151" spans="7:7" ht="13.2" x14ac:dyDescent="0.25">
      <c r="G1151" s="3"/>
    </row>
    <row r="1152" spans="7:7" ht="13.2" x14ac:dyDescent="0.25">
      <c r="G1152" s="3"/>
    </row>
    <row r="1153" spans="7:7" ht="13.2" x14ac:dyDescent="0.25">
      <c r="G1153" s="3"/>
    </row>
    <row r="1154" spans="7:7" ht="13.2" x14ac:dyDescent="0.25">
      <c r="G1154" s="3"/>
    </row>
    <row r="1155" spans="7:7" ht="13.2" x14ac:dyDescent="0.25">
      <c r="G1155" s="3"/>
    </row>
    <row r="1156" spans="7:7" ht="13.2" x14ac:dyDescent="0.25">
      <c r="G1156" s="3"/>
    </row>
    <row r="1157" spans="7:7" ht="13.2" x14ac:dyDescent="0.25">
      <c r="G1157" s="3"/>
    </row>
    <row r="1158" spans="7:7" ht="13.2" x14ac:dyDescent="0.25">
      <c r="G1158" s="3"/>
    </row>
    <row r="1159" spans="7:7" ht="13.2" x14ac:dyDescent="0.25">
      <c r="G1159" s="3"/>
    </row>
    <row r="1160" spans="7:7" ht="13.2" x14ac:dyDescent="0.25">
      <c r="G1160" s="3"/>
    </row>
    <row r="1161" spans="7:7" ht="13.2" x14ac:dyDescent="0.25">
      <c r="G1161" s="3"/>
    </row>
    <row r="1162" spans="7:7" ht="13.2" x14ac:dyDescent="0.25">
      <c r="G1162" s="3"/>
    </row>
    <row r="1163" spans="7:7" ht="13.2" x14ac:dyDescent="0.25">
      <c r="G1163" s="3"/>
    </row>
    <row r="1164" spans="7:7" ht="13.2" x14ac:dyDescent="0.25">
      <c r="G1164" s="3"/>
    </row>
    <row r="1165" spans="7:7" ht="13.2" x14ac:dyDescent="0.25">
      <c r="G1165" s="3"/>
    </row>
    <row r="1166" spans="7:7" ht="13.2" x14ac:dyDescent="0.25">
      <c r="G1166" s="3"/>
    </row>
    <row r="1167" spans="7:7" ht="13.2" x14ac:dyDescent="0.25">
      <c r="G1167" s="3"/>
    </row>
    <row r="1168" spans="7:7" ht="13.2" x14ac:dyDescent="0.25">
      <c r="G1168" s="3"/>
    </row>
    <row r="1169" spans="7:7" ht="13.2" x14ac:dyDescent="0.25">
      <c r="G1169" s="3"/>
    </row>
    <row r="1170" spans="7:7" ht="13.2" x14ac:dyDescent="0.25">
      <c r="G1170" s="3"/>
    </row>
    <row r="1171" spans="7:7" ht="13.2" x14ac:dyDescent="0.25">
      <c r="G1171" s="3"/>
    </row>
    <row r="1172" spans="7:7" ht="13.2" x14ac:dyDescent="0.25">
      <c r="G1172" s="3"/>
    </row>
    <row r="1173" spans="7:7" ht="13.2" x14ac:dyDescent="0.25">
      <c r="G1173" s="3"/>
    </row>
    <row r="1174" spans="7:7" ht="13.2" x14ac:dyDescent="0.25">
      <c r="G1174" s="3"/>
    </row>
    <row r="1175" spans="7:7" ht="13.2" x14ac:dyDescent="0.25">
      <c r="G1175" s="3"/>
    </row>
    <row r="1176" spans="7:7" ht="13.2" x14ac:dyDescent="0.25">
      <c r="G1176" s="3"/>
    </row>
    <row r="1177" spans="7:7" ht="13.2" x14ac:dyDescent="0.25">
      <c r="G1177" s="3"/>
    </row>
    <row r="1178" spans="7:7" ht="13.2" x14ac:dyDescent="0.25">
      <c r="G1178" s="3"/>
    </row>
    <row r="1179" spans="7:7" ht="13.2" x14ac:dyDescent="0.25">
      <c r="G1179" s="3"/>
    </row>
    <row r="1180" spans="7:7" ht="13.2" x14ac:dyDescent="0.25">
      <c r="G1180" s="3"/>
    </row>
    <row r="1181" spans="7:7" ht="13.2" x14ac:dyDescent="0.25">
      <c r="G1181" s="3"/>
    </row>
    <row r="1182" spans="7:7" ht="13.2" x14ac:dyDescent="0.25">
      <c r="G1182" s="3"/>
    </row>
    <row r="1183" spans="7:7" ht="13.2" x14ac:dyDescent="0.25">
      <c r="G1183" s="3"/>
    </row>
    <row r="1184" spans="7:7" ht="13.2" x14ac:dyDescent="0.25">
      <c r="G1184" s="3"/>
    </row>
    <row r="1185" spans="7:7" ht="13.2" x14ac:dyDescent="0.25">
      <c r="G1185" s="3"/>
    </row>
    <row r="1186" spans="7:7" ht="13.2" x14ac:dyDescent="0.25">
      <c r="G1186" s="3"/>
    </row>
    <row r="1187" spans="7:7" ht="13.2" x14ac:dyDescent="0.25">
      <c r="G1187" s="3"/>
    </row>
    <row r="1188" spans="7:7" ht="13.2" x14ac:dyDescent="0.25">
      <c r="G1188" s="3"/>
    </row>
    <row r="1189" spans="7:7" ht="13.2" x14ac:dyDescent="0.25">
      <c r="G1189" s="3"/>
    </row>
    <row r="1190" spans="7:7" ht="13.2" x14ac:dyDescent="0.25">
      <c r="G1190" s="3"/>
    </row>
    <row r="1191" spans="7:7" ht="13.2" x14ac:dyDescent="0.25">
      <c r="G1191" s="3"/>
    </row>
    <row r="1192" spans="7:7" ht="13.2" x14ac:dyDescent="0.25">
      <c r="G1192" s="3"/>
    </row>
    <row r="1193" spans="7:7" ht="13.2" x14ac:dyDescent="0.25">
      <c r="G1193" s="3"/>
    </row>
    <row r="1194" spans="7:7" ht="13.2" x14ac:dyDescent="0.25">
      <c r="G1194" s="3"/>
    </row>
    <row r="1195" spans="7:7" ht="13.2" x14ac:dyDescent="0.25">
      <c r="G1195" s="3"/>
    </row>
    <row r="1196" spans="7:7" ht="13.2" x14ac:dyDescent="0.25">
      <c r="G1196" s="3"/>
    </row>
    <row r="1197" spans="7:7" ht="13.2" x14ac:dyDescent="0.25">
      <c r="G1197" s="3"/>
    </row>
    <row r="1198" spans="7:7" ht="13.2" x14ac:dyDescent="0.25">
      <c r="G1198" s="3"/>
    </row>
    <row r="1199" spans="7:7" ht="13.2" x14ac:dyDescent="0.25">
      <c r="G1199" s="3"/>
    </row>
    <row r="1200" spans="7:7" ht="13.2" x14ac:dyDescent="0.25">
      <c r="G1200" s="3"/>
    </row>
    <row r="1201" spans="7:7" ht="13.2" x14ac:dyDescent="0.25">
      <c r="G1201" s="3"/>
    </row>
    <row r="1202" spans="7:7" ht="13.2" x14ac:dyDescent="0.25">
      <c r="G1202" s="3"/>
    </row>
    <row r="1203" spans="7:7" ht="13.2" x14ac:dyDescent="0.25">
      <c r="G1203" s="3"/>
    </row>
    <row r="1204" spans="7:7" ht="13.2" x14ac:dyDescent="0.25">
      <c r="G1204" s="3"/>
    </row>
    <row r="1205" spans="7:7" ht="13.2" x14ac:dyDescent="0.25">
      <c r="G1205" s="3"/>
    </row>
    <row r="1206" spans="7:7" ht="13.2" x14ac:dyDescent="0.25">
      <c r="G1206" s="3"/>
    </row>
    <row r="1207" spans="7:7" ht="13.2" x14ac:dyDescent="0.25">
      <c r="G1207" s="3"/>
    </row>
    <row r="1208" spans="7:7" ht="13.2" x14ac:dyDescent="0.25">
      <c r="G1208" s="3"/>
    </row>
    <row r="1209" spans="7:7" ht="13.2" x14ac:dyDescent="0.25">
      <c r="G1209" s="3"/>
    </row>
    <row r="1210" spans="7:7" ht="13.2" x14ac:dyDescent="0.25">
      <c r="G1210" s="3"/>
    </row>
    <row r="1211" spans="7:7" ht="13.2" x14ac:dyDescent="0.25">
      <c r="G1211" s="3"/>
    </row>
    <row r="1212" spans="7:7" ht="13.2" x14ac:dyDescent="0.25">
      <c r="G1212" s="3"/>
    </row>
    <row r="1213" spans="7:7" ht="13.2" x14ac:dyDescent="0.25">
      <c r="G1213" s="3"/>
    </row>
    <row r="1214" spans="7:7" ht="13.2" x14ac:dyDescent="0.25">
      <c r="G1214" s="3"/>
    </row>
    <row r="1215" spans="7:7" ht="13.2" x14ac:dyDescent="0.25">
      <c r="G1215" s="3"/>
    </row>
    <row r="1216" spans="7:7" ht="13.2" x14ac:dyDescent="0.25">
      <c r="G1216" s="3"/>
    </row>
    <row r="1217" spans="7:7" ht="13.2" x14ac:dyDescent="0.25">
      <c r="G1217" s="3"/>
    </row>
    <row r="1218" spans="7:7" ht="13.2" x14ac:dyDescent="0.25">
      <c r="G1218" s="3"/>
    </row>
    <row r="1219" spans="7:7" ht="13.2" x14ac:dyDescent="0.25">
      <c r="G1219" s="3"/>
    </row>
    <row r="1220" spans="7:7" ht="13.2" x14ac:dyDescent="0.25">
      <c r="G1220" s="3"/>
    </row>
    <row r="1221" spans="7:7" ht="13.2" x14ac:dyDescent="0.25">
      <c r="G1221" s="3"/>
    </row>
    <row r="1222" spans="7:7" ht="13.2" x14ac:dyDescent="0.25">
      <c r="G1222" s="3"/>
    </row>
    <row r="1223" spans="7:7" ht="13.2" x14ac:dyDescent="0.25">
      <c r="G1223" s="3"/>
    </row>
    <row r="1224" spans="7:7" ht="13.2" x14ac:dyDescent="0.25">
      <c r="G1224" s="3"/>
    </row>
    <row r="1225" spans="7:7" ht="13.2" x14ac:dyDescent="0.25">
      <c r="G1225" s="3"/>
    </row>
    <row r="1226" spans="7:7" ht="13.2" x14ac:dyDescent="0.25">
      <c r="G1226" s="3"/>
    </row>
    <row r="1227" spans="7:7" ht="13.2" x14ac:dyDescent="0.25">
      <c r="G1227" s="3"/>
    </row>
    <row r="1228" spans="7:7" ht="13.2" x14ac:dyDescent="0.25">
      <c r="G1228" s="3"/>
    </row>
    <row r="1229" spans="7:7" ht="13.2" x14ac:dyDescent="0.25">
      <c r="G1229" s="3"/>
    </row>
    <row r="1230" spans="7:7" ht="13.2" x14ac:dyDescent="0.25">
      <c r="G1230" s="3"/>
    </row>
    <row r="1231" spans="7:7" ht="13.2" x14ac:dyDescent="0.25">
      <c r="G1231" s="3"/>
    </row>
    <row r="1232" spans="7:7" ht="13.2" x14ac:dyDescent="0.25">
      <c r="G1232" s="3"/>
    </row>
    <row r="1233" spans="7:7" ht="13.2" x14ac:dyDescent="0.25">
      <c r="G1233" s="3"/>
    </row>
    <row r="1234" spans="7:7" ht="13.2" x14ac:dyDescent="0.25">
      <c r="G1234" s="3"/>
    </row>
    <row r="1235" spans="7:7" ht="13.2" x14ac:dyDescent="0.25">
      <c r="G1235" s="3"/>
    </row>
    <row r="1236" spans="7:7" ht="13.2" x14ac:dyDescent="0.25">
      <c r="G1236" s="3"/>
    </row>
    <row r="1237" spans="7:7" ht="13.2" x14ac:dyDescent="0.25">
      <c r="G1237" s="3"/>
    </row>
    <row r="1238" spans="7:7" ht="13.2" x14ac:dyDescent="0.25">
      <c r="G1238" s="3"/>
    </row>
    <row r="1239" spans="7:7" ht="13.2" x14ac:dyDescent="0.25">
      <c r="G1239" s="3"/>
    </row>
    <row r="1240" spans="7:7" ht="13.2" x14ac:dyDescent="0.25">
      <c r="G1240" s="3"/>
    </row>
    <row r="1241" spans="7:7" ht="13.2" x14ac:dyDescent="0.25">
      <c r="G1241" s="3"/>
    </row>
    <row r="1242" spans="7:7" ht="13.2" x14ac:dyDescent="0.25">
      <c r="G1242" s="3"/>
    </row>
    <row r="1243" spans="7:7" ht="13.2" x14ac:dyDescent="0.25">
      <c r="G1243" s="3"/>
    </row>
    <row r="1244" spans="7:7" ht="13.2" x14ac:dyDescent="0.25">
      <c r="G1244" s="3"/>
    </row>
    <row r="1245" spans="7:7" ht="13.2" x14ac:dyDescent="0.25">
      <c r="G1245" s="3"/>
    </row>
    <row r="1246" spans="7:7" ht="13.2" x14ac:dyDescent="0.25">
      <c r="G1246" s="3"/>
    </row>
    <row r="1247" spans="7:7" ht="13.2" x14ac:dyDescent="0.25">
      <c r="G1247" s="3"/>
    </row>
    <row r="1248" spans="7:7" ht="13.2" x14ac:dyDescent="0.25">
      <c r="G1248" s="3"/>
    </row>
    <row r="1249" spans="7:7" ht="13.2" x14ac:dyDescent="0.25">
      <c r="G1249" s="3"/>
    </row>
    <row r="1250" spans="7:7" ht="13.2" x14ac:dyDescent="0.25">
      <c r="G1250" s="3"/>
    </row>
    <row r="1251" spans="7:7" ht="13.2" x14ac:dyDescent="0.25">
      <c r="G1251" s="3"/>
    </row>
    <row r="1252" spans="7:7" ht="13.2" x14ac:dyDescent="0.25">
      <c r="G1252" s="3"/>
    </row>
    <row r="1253" spans="7:7" ht="13.2" x14ac:dyDescent="0.25">
      <c r="G1253" s="3"/>
    </row>
    <row r="1254" spans="7:7" ht="13.2" x14ac:dyDescent="0.25">
      <c r="G1254" s="3"/>
    </row>
    <row r="1255" spans="7:7" ht="13.2" x14ac:dyDescent="0.25">
      <c r="G1255" s="3"/>
    </row>
    <row r="1256" spans="7:7" ht="13.2" x14ac:dyDescent="0.25">
      <c r="G1256" s="3"/>
    </row>
    <row r="1257" spans="7:7" ht="13.2" x14ac:dyDescent="0.25">
      <c r="G1257" s="3"/>
    </row>
    <row r="1258" spans="7:7" ht="13.2" x14ac:dyDescent="0.25">
      <c r="G1258" s="3"/>
    </row>
    <row r="1259" spans="7:7" ht="13.2" x14ac:dyDescent="0.25">
      <c r="G1259" s="3"/>
    </row>
    <row r="1260" spans="7:7" ht="13.2" x14ac:dyDescent="0.25">
      <c r="G1260" s="3"/>
    </row>
    <row r="1261" spans="7:7" ht="13.2" x14ac:dyDescent="0.25">
      <c r="G1261" s="3"/>
    </row>
    <row r="1262" spans="7:7" ht="13.2" x14ac:dyDescent="0.25">
      <c r="G1262" s="3"/>
    </row>
    <row r="1263" spans="7:7" ht="13.2" x14ac:dyDescent="0.25">
      <c r="G1263" s="3"/>
    </row>
    <row r="1264" spans="7:7" ht="13.2" x14ac:dyDescent="0.25">
      <c r="G1264" s="3"/>
    </row>
    <row r="1265" spans="7:7" ht="13.2" x14ac:dyDescent="0.25">
      <c r="G1265" s="3"/>
    </row>
    <row r="1266" spans="7:7" ht="13.2" x14ac:dyDescent="0.25">
      <c r="G1266" s="3"/>
    </row>
    <row r="1267" spans="7:7" ht="13.2" x14ac:dyDescent="0.25">
      <c r="G1267" s="3"/>
    </row>
    <row r="1268" spans="7:7" ht="13.2" x14ac:dyDescent="0.25">
      <c r="G1268" s="3"/>
    </row>
    <row r="1269" spans="7:7" ht="13.2" x14ac:dyDescent="0.25">
      <c r="G1269" s="3"/>
    </row>
    <row r="1270" spans="7:7" ht="13.2" x14ac:dyDescent="0.25">
      <c r="G1270" s="3"/>
    </row>
    <row r="1271" spans="7:7" ht="13.2" x14ac:dyDescent="0.25">
      <c r="G1271" s="3"/>
    </row>
    <row r="1272" spans="7:7" ht="13.2" x14ac:dyDescent="0.25">
      <c r="G1272" s="3"/>
    </row>
    <row r="1273" spans="7:7" ht="13.2" x14ac:dyDescent="0.25">
      <c r="G1273" s="3"/>
    </row>
    <row r="1274" spans="7:7" ht="13.2" x14ac:dyDescent="0.25">
      <c r="G1274" s="3"/>
    </row>
    <row r="1275" spans="7:7" ht="13.2" x14ac:dyDescent="0.25">
      <c r="G1275" s="3"/>
    </row>
    <row r="1276" spans="7:7" ht="13.2" x14ac:dyDescent="0.25">
      <c r="G1276" s="3"/>
    </row>
    <row r="1277" spans="7:7" ht="13.2" x14ac:dyDescent="0.25">
      <c r="G1277" s="3"/>
    </row>
    <row r="1278" spans="7:7" ht="13.2" x14ac:dyDescent="0.25">
      <c r="G1278" s="3"/>
    </row>
    <row r="1279" spans="7:7" ht="13.2" x14ac:dyDescent="0.25">
      <c r="G1279" s="3"/>
    </row>
    <row r="1280" spans="7:7" ht="13.2" x14ac:dyDescent="0.25">
      <c r="G1280" s="3"/>
    </row>
    <row r="1281" spans="7:7" ht="13.2" x14ac:dyDescent="0.25">
      <c r="G1281" s="3"/>
    </row>
    <row r="1282" spans="7:7" ht="13.2" x14ac:dyDescent="0.25">
      <c r="G1282" s="3"/>
    </row>
    <row r="1283" spans="7:7" ht="13.2" x14ac:dyDescent="0.25">
      <c r="G1283" s="3"/>
    </row>
    <row r="1284" spans="7:7" ht="13.2" x14ac:dyDescent="0.25">
      <c r="G1284" s="3"/>
    </row>
    <row r="1285" spans="7:7" ht="13.2" x14ac:dyDescent="0.25">
      <c r="G1285" s="3"/>
    </row>
    <row r="1286" spans="7:7" ht="13.2" x14ac:dyDescent="0.25">
      <c r="G1286" s="3"/>
    </row>
    <row r="1287" spans="7:7" ht="13.2" x14ac:dyDescent="0.25">
      <c r="G1287" s="3"/>
    </row>
    <row r="1288" spans="7:7" ht="13.2" x14ac:dyDescent="0.25">
      <c r="G1288" s="3"/>
    </row>
    <row r="1289" spans="7:7" ht="13.2" x14ac:dyDescent="0.25">
      <c r="G1289" s="3"/>
    </row>
    <row r="1290" spans="7:7" ht="13.2" x14ac:dyDescent="0.25">
      <c r="G1290" s="3"/>
    </row>
    <row r="1291" spans="7:7" ht="13.2" x14ac:dyDescent="0.25">
      <c r="G1291" s="3"/>
    </row>
    <row r="1292" spans="7:7" ht="13.2" x14ac:dyDescent="0.25">
      <c r="G1292" s="3"/>
    </row>
    <row r="1293" spans="7:7" ht="13.2" x14ac:dyDescent="0.25">
      <c r="G1293" s="3"/>
    </row>
    <row r="1294" spans="7:7" ht="13.2" x14ac:dyDescent="0.25">
      <c r="G1294" s="3"/>
    </row>
    <row r="1295" spans="7:7" ht="13.2" x14ac:dyDescent="0.25">
      <c r="G1295" s="3"/>
    </row>
    <row r="1296" spans="7:7" ht="13.2" x14ac:dyDescent="0.25">
      <c r="G1296" s="3"/>
    </row>
    <row r="1297" spans="7:7" ht="13.2" x14ac:dyDescent="0.25">
      <c r="G1297" s="3"/>
    </row>
    <row r="1298" spans="7:7" ht="13.2" x14ac:dyDescent="0.25">
      <c r="G1298" s="3"/>
    </row>
    <row r="1299" spans="7:7" ht="13.2" x14ac:dyDescent="0.25">
      <c r="G1299" s="3"/>
    </row>
    <row r="1300" spans="7:7" ht="13.2" x14ac:dyDescent="0.25">
      <c r="G1300" s="3"/>
    </row>
    <row r="1301" spans="7:7" ht="13.2" x14ac:dyDescent="0.25">
      <c r="G1301" s="3"/>
    </row>
    <row r="1302" spans="7:7" ht="13.2" x14ac:dyDescent="0.25">
      <c r="G1302" s="3"/>
    </row>
    <row r="1303" spans="7:7" ht="13.2" x14ac:dyDescent="0.25">
      <c r="G1303" s="3"/>
    </row>
    <row r="1304" spans="7:7" ht="13.2" x14ac:dyDescent="0.25">
      <c r="G1304" s="3"/>
    </row>
    <row r="1305" spans="7:7" ht="13.2" x14ac:dyDescent="0.25">
      <c r="G1305" s="3"/>
    </row>
    <row r="1306" spans="7:7" ht="13.2" x14ac:dyDescent="0.25">
      <c r="G1306" s="3"/>
    </row>
    <row r="1307" spans="7:7" ht="13.2" x14ac:dyDescent="0.25">
      <c r="G1307" s="3"/>
    </row>
    <row r="1308" spans="7:7" ht="13.2" x14ac:dyDescent="0.25">
      <c r="G1308" s="3"/>
    </row>
    <row r="1309" spans="7:7" ht="13.2" x14ac:dyDescent="0.25">
      <c r="G1309" s="3"/>
    </row>
    <row r="1310" spans="7:7" ht="13.2" x14ac:dyDescent="0.25">
      <c r="G1310" s="3"/>
    </row>
    <row r="1311" spans="7:7" ht="13.2" x14ac:dyDescent="0.25">
      <c r="G1311" s="3"/>
    </row>
    <row r="1312" spans="7:7" ht="13.2" x14ac:dyDescent="0.25">
      <c r="G1312" s="3"/>
    </row>
    <row r="1313" spans="7:7" ht="13.2" x14ac:dyDescent="0.25">
      <c r="G1313" s="3"/>
    </row>
    <row r="1314" spans="7:7" ht="13.2" x14ac:dyDescent="0.25">
      <c r="G1314" s="3"/>
    </row>
    <row r="1315" spans="7:7" ht="13.2" x14ac:dyDescent="0.25">
      <c r="G1315" s="3"/>
    </row>
    <row r="1316" spans="7:7" ht="13.2" x14ac:dyDescent="0.25">
      <c r="G1316" s="3"/>
    </row>
    <row r="1317" spans="7:7" ht="13.2" x14ac:dyDescent="0.25">
      <c r="G1317" s="3"/>
    </row>
    <row r="1318" spans="7:7" ht="13.2" x14ac:dyDescent="0.25">
      <c r="G1318" s="3"/>
    </row>
    <row r="1319" spans="7:7" ht="13.2" x14ac:dyDescent="0.25">
      <c r="G1319" s="3"/>
    </row>
    <row r="1320" spans="7:7" ht="13.2" x14ac:dyDescent="0.25">
      <c r="G1320" s="3"/>
    </row>
    <row r="1321" spans="7:7" ht="13.2" x14ac:dyDescent="0.25">
      <c r="G1321" s="3"/>
    </row>
    <row r="1322" spans="7:7" ht="13.2" x14ac:dyDescent="0.25">
      <c r="G1322" s="3"/>
    </row>
    <row r="1323" spans="7:7" ht="13.2" x14ac:dyDescent="0.25">
      <c r="G1323" s="3"/>
    </row>
    <row r="1324" spans="7:7" ht="13.2" x14ac:dyDescent="0.25">
      <c r="G1324" s="3"/>
    </row>
    <row r="1325" spans="7:7" ht="13.2" x14ac:dyDescent="0.25">
      <c r="G1325" s="3"/>
    </row>
    <row r="1326" spans="7:7" ht="13.2" x14ac:dyDescent="0.25">
      <c r="G1326" s="3"/>
    </row>
    <row r="1327" spans="7:7" ht="13.2" x14ac:dyDescent="0.25">
      <c r="G1327" s="3"/>
    </row>
    <row r="1328" spans="7:7" ht="13.2" x14ac:dyDescent="0.25">
      <c r="G1328" s="3"/>
    </row>
    <row r="1329" spans="7:7" ht="13.2" x14ac:dyDescent="0.25">
      <c r="G1329" s="3"/>
    </row>
    <row r="1330" spans="7:7" ht="13.2" x14ac:dyDescent="0.25">
      <c r="G1330" s="3"/>
    </row>
    <row r="1331" spans="7:7" ht="13.2" x14ac:dyDescent="0.25">
      <c r="G1331" s="3"/>
    </row>
    <row r="1332" spans="7:7" ht="13.2" x14ac:dyDescent="0.25">
      <c r="G1332" s="3"/>
    </row>
    <row r="1333" spans="7:7" ht="13.2" x14ac:dyDescent="0.25">
      <c r="G1333" s="3"/>
    </row>
    <row r="1334" spans="7:7" ht="13.2" x14ac:dyDescent="0.25">
      <c r="G1334" s="3"/>
    </row>
    <row r="1335" spans="7:7" ht="13.2" x14ac:dyDescent="0.25">
      <c r="G1335" s="3"/>
    </row>
    <row r="1336" spans="7:7" ht="13.2" x14ac:dyDescent="0.25">
      <c r="G1336" s="3"/>
    </row>
    <row r="1337" spans="7:7" ht="13.2" x14ac:dyDescent="0.25">
      <c r="G1337" s="3"/>
    </row>
    <row r="1338" spans="7:7" ht="13.2" x14ac:dyDescent="0.25">
      <c r="G1338" s="3"/>
    </row>
    <row r="1339" spans="7:7" ht="13.2" x14ac:dyDescent="0.25">
      <c r="G1339" s="3"/>
    </row>
    <row r="1340" spans="7:7" ht="13.2" x14ac:dyDescent="0.25">
      <c r="G1340" s="3"/>
    </row>
    <row r="1341" spans="7:7" ht="13.2" x14ac:dyDescent="0.25">
      <c r="G1341" s="3"/>
    </row>
    <row r="1342" spans="7:7" ht="13.2" x14ac:dyDescent="0.25">
      <c r="G1342" s="3"/>
    </row>
    <row r="1343" spans="7:7" ht="13.2" x14ac:dyDescent="0.25">
      <c r="G1343" s="3"/>
    </row>
    <row r="1344" spans="7:7" ht="13.2" x14ac:dyDescent="0.25">
      <c r="G1344" s="3"/>
    </row>
    <row r="1345" spans="7:7" ht="13.2" x14ac:dyDescent="0.25">
      <c r="G1345" s="3"/>
    </row>
    <row r="1346" spans="7:7" ht="13.2" x14ac:dyDescent="0.25">
      <c r="G1346" s="3"/>
    </row>
    <row r="1347" spans="7:7" ht="13.2" x14ac:dyDescent="0.25">
      <c r="G1347" s="3"/>
    </row>
    <row r="1348" spans="7:7" ht="13.2" x14ac:dyDescent="0.25">
      <c r="G1348" s="3"/>
    </row>
    <row r="1349" spans="7:7" ht="13.2" x14ac:dyDescent="0.25">
      <c r="G1349" s="3"/>
    </row>
    <row r="1350" spans="7:7" ht="13.2" x14ac:dyDescent="0.25">
      <c r="G1350" s="3"/>
    </row>
    <row r="1351" spans="7:7" ht="13.2" x14ac:dyDescent="0.25">
      <c r="G1351" s="3"/>
    </row>
    <row r="1352" spans="7:7" ht="13.2" x14ac:dyDescent="0.25">
      <c r="G1352" s="3"/>
    </row>
    <row r="1353" spans="7:7" ht="13.2" x14ac:dyDescent="0.25">
      <c r="G1353" s="3"/>
    </row>
    <row r="1354" spans="7:7" ht="13.2" x14ac:dyDescent="0.25">
      <c r="G1354" s="3"/>
    </row>
    <row r="1355" spans="7:7" ht="13.2" x14ac:dyDescent="0.25">
      <c r="G1355" s="3"/>
    </row>
    <row r="1356" spans="7:7" ht="13.2" x14ac:dyDescent="0.25">
      <c r="G1356" s="3"/>
    </row>
    <row r="1357" spans="7:7" ht="13.2" x14ac:dyDescent="0.25">
      <c r="G1357" s="3"/>
    </row>
    <row r="1358" spans="7:7" ht="13.2" x14ac:dyDescent="0.25">
      <c r="G1358" s="3"/>
    </row>
    <row r="1359" spans="7:7" ht="13.2" x14ac:dyDescent="0.25">
      <c r="G1359" s="3"/>
    </row>
    <row r="1360" spans="7:7" ht="13.2" x14ac:dyDescent="0.25">
      <c r="G1360" s="3"/>
    </row>
    <row r="1361" spans="7:7" ht="13.2" x14ac:dyDescent="0.25">
      <c r="G1361" s="3"/>
    </row>
    <row r="1362" spans="7:7" ht="13.2" x14ac:dyDescent="0.25">
      <c r="G1362" s="3"/>
    </row>
    <row r="1363" spans="7:7" ht="13.2" x14ac:dyDescent="0.25">
      <c r="G1363" s="3"/>
    </row>
    <row r="1364" spans="7:7" ht="13.2" x14ac:dyDescent="0.25">
      <c r="G1364" s="3"/>
    </row>
    <row r="1365" spans="7:7" ht="13.2" x14ac:dyDescent="0.25">
      <c r="G1365" s="3"/>
    </row>
    <row r="1366" spans="7:7" ht="13.2" x14ac:dyDescent="0.25">
      <c r="G1366" s="3"/>
    </row>
    <row r="1367" spans="7:7" ht="13.2" x14ac:dyDescent="0.25">
      <c r="G1367" s="3"/>
    </row>
    <row r="1368" spans="7:7" ht="13.2" x14ac:dyDescent="0.25">
      <c r="G1368" s="3"/>
    </row>
    <row r="1369" spans="7:7" ht="13.2" x14ac:dyDescent="0.25">
      <c r="G1369" s="3"/>
    </row>
    <row r="1370" spans="7:7" ht="13.2" x14ac:dyDescent="0.25">
      <c r="G1370" s="3"/>
    </row>
    <row r="1371" spans="7:7" ht="13.2" x14ac:dyDescent="0.25">
      <c r="G1371" s="3"/>
    </row>
    <row r="1372" spans="7:7" ht="13.2" x14ac:dyDescent="0.25">
      <c r="G1372" s="3"/>
    </row>
    <row r="1373" spans="7:7" ht="13.2" x14ac:dyDescent="0.25">
      <c r="G1373" s="3"/>
    </row>
    <row r="1374" spans="7:7" ht="13.2" x14ac:dyDescent="0.25">
      <c r="G1374" s="3"/>
    </row>
    <row r="1375" spans="7:7" ht="13.2" x14ac:dyDescent="0.25">
      <c r="G1375" s="3"/>
    </row>
    <row r="1376" spans="7:7" ht="13.2" x14ac:dyDescent="0.25">
      <c r="G1376" s="3"/>
    </row>
    <row r="1377" spans="7:7" ht="13.2" x14ac:dyDescent="0.25">
      <c r="G1377" s="3"/>
    </row>
    <row r="1378" spans="7:7" ht="13.2" x14ac:dyDescent="0.25">
      <c r="G1378" s="3"/>
    </row>
    <row r="1379" spans="7:7" ht="13.2" x14ac:dyDescent="0.25">
      <c r="G1379" s="3"/>
    </row>
    <row r="1380" spans="7:7" ht="13.2" x14ac:dyDescent="0.25">
      <c r="G1380" s="3"/>
    </row>
    <row r="1381" spans="7:7" ht="13.2" x14ac:dyDescent="0.25">
      <c r="G1381" s="3"/>
    </row>
    <row r="1382" spans="7:7" ht="13.2" x14ac:dyDescent="0.25">
      <c r="G1382" s="3"/>
    </row>
    <row r="1383" spans="7:7" ht="13.2" x14ac:dyDescent="0.25">
      <c r="G1383" s="3"/>
    </row>
    <row r="1384" spans="7:7" ht="13.2" x14ac:dyDescent="0.25">
      <c r="G1384" s="3"/>
    </row>
    <row r="1385" spans="7:7" ht="13.2" x14ac:dyDescent="0.25">
      <c r="G1385" s="3"/>
    </row>
    <row r="1386" spans="7:7" ht="13.2" x14ac:dyDescent="0.25">
      <c r="G1386" s="3"/>
    </row>
    <row r="1387" spans="7:7" ht="13.2" x14ac:dyDescent="0.25">
      <c r="G1387" s="3"/>
    </row>
    <row r="1388" spans="7:7" ht="13.2" x14ac:dyDescent="0.25">
      <c r="G1388" s="3"/>
    </row>
    <row r="1389" spans="7:7" ht="13.2" x14ac:dyDescent="0.25">
      <c r="G1389" s="3"/>
    </row>
    <row r="1390" spans="7:7" ht="13.2" x14ac:dyDescent="0.25">
      <c r="G1390" s="3"/>
    </row>
    <row r="1391" spans="7:7" ht="13.2" x14ac:dyDescent="0.25">
      <c r="G1391" s="3"/>
    </row>
    <row r="1392" spans="7:7" ht="13.2" x14ac:dyDescent="0.25">
      <c r="G1392" s="3"/>
    </row>
    <row r="1393" spans="7:7" ht="13.2" x14ac:dyDescent="0.25">
      <c r="G1393" s="3"/>
    </row>
    <row r="1394" spans="7:7" ht="13.2" x14ac:dyDescent="0.25">
      <c r="G1394" s="3"/>
    </row>
    <row r="1395" spans="7:7" ht="13.2" x14ac:dyDescent="0.25">
      <c r="G1395" s="3"/>
    </row>
    <row r="1396" spans="7:7" ht="13.2" x14ac:dyDescent="0.25">
      <c r="G1396" s="3"/>
    </row>
    <row r="1397" spans="7:7" ht="13.2" x14ac:dyDescent="0.25">
      <c r="G1397" s="3"/>
    </row>
    <row r="1398" spans="7:7" ht="13.2" x14ac:dyDescent="0.25">
      <c r="G1398" s="3"/>
    </row>
    <row r="1399" spans="7:7" ht="13.2" x14ac:dyDescent="0.25">
      <c r="G1399" s="3"/>
    </row>
    <row r="1400" spans="7:7" ht="13.2" x14ac:dyDescent="0.25">
      <c r="G1400" s="3"/>
    </row>
    <row r="1401" spans="7:7" ht="13.2" x14ac:dyDescent="0.25">
      <c r="G1401" s="3"/>
    </row>
    <row r="1402" spans="7:7" ht="13.2" x14ac:dyDescent="0.25">
      <c r="G1402" s="3"/>
    </row>
    <row r="1403" spans="7:7" ht="13.2" x14ac:dyDescent="0.25">
      <c r="G1403" s="3"/>
    </row>
    <row r="1404" spans="7:7" ht="13.2" x14ac:dyDescent="0.25">
      <c r="G1404" s="3"/>
    </row>
    <row r="1405" spans="7:7" ht="13.2" x14ac:dyDescent="0.25">
      <c r="G1405" s="3"/>
    </row>
    <row r="1406" spans="7:7" ht="13.2" x14ac:dyDescent="0.25">
      <c r="G1406" s="3"/>
    </row>
    <row r="1407" spans="7:7" ht="13.2" x14ac:dyDescent="0.25">
      <c r="G1407" s="3"/>
    </row>
    <row r="1408" spans="7:7" ht="13.2" x14ac:dyDescent="0.25">
      <c r="G1408" s="3"/>
    </row>
    <row r="1409" spans="7:7" ht="13.2" x14ac:dyDescent="0.25">
      <c r="G1409" s="3"/>
    </row>
    <row r="1410" spans="7:7" ht="13.2" x14ac:dyDescent="0.25">
      <c r="G1410" s="3"/>
    </row>
    <row r="1411" spans="7:7" ht="13.2" x14ac:dyDescent="0.25">
      <c r="G1411" s="3"/>
    </row>
    <row r="1412" spans="7:7" ht="13.2" x14ac:dyDescent="0.25">
      <c r="G1412" s="3"/>
    </row>
    <row r="1413" spans="7:7" ht="13.2" x14ac:dyDescent="0.25">
      <c r="G1413" s="3"/>
    </row>
    <row r="1414" spans="7:7" ht="13.2" x14ac:dyDescent="0.25">
      <c r="G1414" s="3"/>
    </row>
    <row r="1415" spans="7:7" ht="13.2" x14ac:dyDescent="0.25">
      <c r="G1415" s="3"/>
    </row>
    <row r="1416" spans="7:7" ht="13.2" x14ac:dyDescent="0.25">
      <c r="G1416" s="3"/>
    </row>
    <row r="1417" spans="7:7" ht="13.2" x14ac:dyDescent="0.25">
      <c r="G1417" s="3"/>
    </row>
    <row r="1418" spans="7:7" ht="13.2" x14ac:dyDescent="0.25">
      <c r="G1418" s="3"/>
    </row>
    <row r="1419" spans="7:7" ht="13.2" x14ac:dyDescent="0.25">
      <c r="G1419" s="3"/>
    </row>
    <row r="1420" spans="7:7" ht="13.2" x14ac:dyDescent="0.25">
      <c r="G1420" s="3"/>
    </row>
    <row r="1421" spans="7:7" ht="13.2" x14ac:dyDescent="0.25">
      <c r="G1421" s="3"/>
    </row>
    <row r="1422" spans="7:7" ht="13.2" x14ac:dyDescent="0.25">
      <c r="G1422" s="3"/>
    </row>
    <row r="1423" spans="7:7" ht="13.2" x14ac:dyDescent="0.25">
      <c r="G1423" s="3"/>
    </row>
    <row r="1424" spans="7:7" ht="13.2" x14ac:dyDescent="0.25">
      <c r="G1424" s="3"/>
    </row>
    <row r="1425" spans="7:7" ht="13.2" x14ac:dyDescent="0.25">
      <c r="G1425" s="3"/>
    </row>
    <row r="1426" spans="7:7" ht="13.2" x14ac:dyDescent="0.25">
      <c r="G1426" s="3"/>
    </row>
    <row r="1427" spans="7:7" ht="13.2" x14ac:dyDescent="0.25">
      <c r="G1427" s="3"/>
    </row>
    <row r="1428" spans="7:7" ht="13.2" x14ac:dyDescent="0.25">
      <c r="G1428" s="3"/>
    </row>
    <row r="1429" spans="7:7" ht="13.2" x14ac:dyDescent="0.25">
      <c r="G1429" s="3"/>
    </row>
    <row r="1430" spans="7:7" ht="13.2" x14ac:dyDescent="0.25">
      <c r="G1430" s="3"/>
    </row>
    <row r="1431" spans="7:7" ht="13.2" x14ac:dyDescent="0.25">
      <c r="G1431" s="3"/>
    </row>
    <row r="1432" spans="7:7" ht="13.2" x14ac:dyDescent="0.25">
      <c r="G1432" s="3"/>
    </row>
    <row r="1433" spans="7:7" ht="13.2" x14ac:dyDescent="0.25">
      <c r="G1433" s="3"/>
    </row>
    <row r="1434" spans="7:7" ht="13.2" x14ac:dyDescent="0.25">
      <c r="G1434" s="3"/>
    </row>
    <row r="1435" spans="7:7" ht="13.2" x14ac:dyDescent="0.25">
      <c r="G1435" s="3"/>
    </row>
  </sheetData>
  <mergeCells count="6">
    <mergeCell ref="A1:U3"/>
    <mergeCell ref="A4:U4"/>
    <mergeCell ref="A7:A8"/>
    <mergeCell ref="B7:B8"/>
    <mergeCell ref="C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2024-04-15T10:03:04Z</dcterms:modified>
</cp:coreProperties>
</file>